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XXXXXXX" sheetId="1" state="veryHidden" r:id="rId1"/>
    <sheet name="informe" sheetId="2" r:id="rId2"/>
    <sheet name="ANEXO" sheetId="3" r:id="rId3"/>
    <sheet name="RADIO TAXI" sheetId="4" r:id="rId4"/>
  </sheets>
  <definedNames>
    <definedName name="_xlnm._FilterDatabase" localSheetId="1" hidden="1">'informe'!$E$4:$E$238</definedName>
    <definedName name="_xlnm.Print_Titles" localSheetId="1">'informe'!$7:$7</definedName>
  </definedNames>
  <calcPr fullCalcOnLoad="1"/>
</workbook>
</file>

<file path=xl/sharedStrings.xml><?xml version="1.0" encoding="utf-8"?>
<sst xmlns="http://schemas.openxmlformats.org/spreadsheetml/2006/main" count="409" uniqueCount="287">
  <si>
    <t>DESCRIPCION</t>
  </si>
  <si>
    <t>INGRESOS</t>
  </si>
  <si>
    <t>EGRESOS</t>
  </si>
  <si>
    <t>I  N  G  R  E  S  O  S:</t>
  </si>
  <si>
    <t>CUOTAS SOCIALES</t>
  </si>
  <si>
    <t>INGRESOS VARIOS</t>
  </si>
  <si>
    <t>HOGAR JUDICIAL</t>
  </si>
  <si>
    <t xml:space="preserve"> </t>
  </si>
  <si>
    <t>CENTROS VACACIONALES</t>
  </si>
  <si>
    <t>LONCURA</t>
  </si>
  <si>
    <t>E   G   R   E   S   O    S:</t>
  </si>
  <si>
    <t>GASTOS GENERALES</t>
  </si>
  <si>
    <t>COTIZACIONES</t>
  </si>
  <si>
    <t>ASOC. CH. SEG.</t>
  </si>
  <si>
    <t>TOTALES DEL MES</t>
  </si>
  <si>
    <t>SALDO ANTERIOR</t>
  </si>
  <si>
    <t>SUMAS</t>
  </si>
  <si>
    <t xml:space="preserve">                              INFORME TESORERIA NACIONAL</t>
  </si>
  <si>
    <t>AGUAS ANDINAS S.A.</t>
  </si>
  <si>
    <t>TESORERIA GENERAL DE LA REPUBLICA</t>
  </si>
  <si>
    <t>DEPARTAMENTO GREMIAL</t>
  </si>
  <si>
    <t>PASAJES</t>
  </si>
  <si>
    <t>OTROS</t>
  </si>
  <si>
    <t>AFP PROVIDA</t>
  </si>
  <si>
    <t>IMPUESTOS</t>
  </si>
  <si>
    <t xml:space="preserve">TELEFONICA CTC </t>
  </si>
  <si>
    <t>ASOC. REGIONAL CHILLAN</t>
  </si>
  <si>
    <t>CORPORACION ADMINISTRATIVA</t>
  </si>
  <si>
    <t>CESANTIA</t>
  </si>
  <si>
    <t>ASOC. REGIONAL LA SERENA</t>
  </si>
  <si>
    <t>SALDO ANTERIOR   $</t>
  </si>
  <si>
    <t>ASOC. REGIONAL IQUIQUE</t>
  </si>
  <si>
    <t>ASOC. REGIONAL TEMUCO</t>
  </si>
  <si>
    <t>ASOC. REGIONAL PUERTO MONTT</t>
  </si>
  <si>
    <t>ASOC. REGIONAL ANTOFAGASTA</t>
  </si>
  <si>
    <t>SOCIOS</t>
  </si>
  <si>
    <t>ASOC. REGIONAL ARICA</t>
  </si>
  <si>
    <t>ASOC. REGIONAL COPIAPO</t>
  </si>
  <si>
    <t>ASOC. REGIONAL VALPARAISO</t>
  </si>
  <si>
    <t>ASOC. REGIONAL SANTIAGO</t>
  </si>
  <si>
    <t>CORTE SUPREMA</t>
  </si>
  <si>
    <t>ASOC. REGIONAL SAN MIGUEL</t>
  </si>
  <si>
    <t>ASOC. REGIONAL RANCAGUA</t>
  </si>
  <si>
    <t>ASOC. REGIONAL TALCA</t>
  </si>
  <si>
    <t>ASOC. REGIONAL CONCEPCION</t>
  </si>
  <si>
    <t>ASOC. REGIONAL VALDIVIA</t>
  </si>
  <si>
    <t>ASOC. REGIONAL COYHAIQUE</t>
  </si>
  <si>
    <t>ASOC. REGIONAL PUNTA ARENAS</t>
  </si>
  <si>
    <t>DETALLE</t>
  </si>
  <si>
    <t>CHILQUINTA</t>
  </si>
  <si>
    <t xml:space="preserve">CAJA COMPENSACION </t>
  </si>
  <si>
    <t>DIRECTV</t>
  </si>
  <si>
    <t>COÑARIPE</t>
  </si>
  <si>
    <t>AYUDA REGIONAL</t>
  </si>
  <si>
    <t>TOTAL AYUDAS SOLIDARIAS</t>
  </si>
  <si>
    <t>PEDRO CACERES</t>
  </si>
  <si>
    <t>YEHIMY LLAMOCA</t>
  </si>
  <si>
    <t>FONDOS POR RENDIR</t>
  </si>
  <si>
    <t>ASOCIACION REGIONAL</t>
  </si>
  <si>
    <t>CTC Hogar y Of. Directorio</t>
  </si>
  <si>
    <t>Luz Loncura</t>
  </si>
  <si>
    <t>Agua</t>
  </si>
  <si>
    <t xml:space="preserve">FECHA </t>
  </si>
  <si>
    <t>NOMBRE</t>
  </si>
  <si>
    <t>MONTO</t>
  </si>
  <si>
    <t>HONORARIOS</t>
  </si>
  <si>
    <t>IRIS URZUA URZUA</t>
  </si>
  <si>
    <t>SAESA S.A.</t>
  </si>
  <si>
    <t>HOGAR JUDICIAL A-B</t>
  </si>
  <si>
    <t>HOGAR JUDICIAL C</t>
  </si>
  <si>
    <t>VICTOR FUENTES</t>
  </si>
  <si>
    <t xml:space="preserve">DETALLE RADIO TAXI </t>
  </si>
  <si>
    <t>MARIA VALERIA</t>
  </si>
  <si>
    <t>JULIETA VEGA  HERRERA</t>
  </si>
  <si>
    <t>Luz</t>
  </si>
  <si>
    <t>AFP PLANVITAL</t>
  </si>
  <si>
    <t>ISAPRE BANMEDICA</t>
  </si>
  <si>
    <t>ELBA QUEZADA</t>
  </si>
  <si>
    <t xml:space="preserve">Tv Cable </t>
  </si>
  <si>
    <t xml:space="preserve">CYNTHIA PAIRO </t>
  </si>
  <si>
    <t>JUAN CIRO LOPEZ</t>
  </si>
  <si>
    <t>PABLO MOLINA</t>
  </si>
  <si>
    <t>ANA CANEO</t>
  </si>
  <si>
    <t>NANCY CATRILAF</t>
  </si>
  <si>
    <t>AFP CUPRUM</t>
  </si>
  <si>
    <t>MARIA CRISTINA CABRERA MUÑOZ</t>
  </si>
  <si>
    <t>ENEL</t>
  </si>
  <si>
    <t>IPS</t>
  </si>
  <si>
    <t>Luz Coñaripe y Mehuin</t>
  </si>
  <si>
    <t>CTC Oficina tesorería</t>
  </si>
  <si>
    <t>Pago cta Entel celulares institucionales</t>
  </si>
  <si>
    <t>Estadía Socios</t>
  </si>
  <si>
    <t>Estadía socios</t>
  </si>
  <si>
    <t>RELACIONES PUBLICAS</t>
  </si>
  <si>
    <t>SANDRA ROJO</t>
  </si>
  <si>
    <t>GUILLERMO QUIROZ</t>
  </si>
  <si>
    <t>WALESKA AGUILAR</t>
  </si>
  <si>
    <t>CASONA HOGAR</t>
  </si>
  <si>
    <t xml:space="preserve">IVONNE ITURRIAGA </t>
  </si>
  <si>
    <t xml:space="preserve">    SANDRA ROJO ARENAS</t>
  </si>
  <si>
    <t xml:space="preserve">           Tesorera Nacional</t>
  </si>
  <si>
    <t>CLAUDIO AROS</t>
  </si>
  <si>
    <t xml:space="preserve">Gas </t>
  </si>
  <si>
    <t>JUEGOS DEPORTIVOS</t>
  </si>
  <si>
    <t>RICARDO ALVAREZ</t>
  </si>
  <si>
    <t>MOVISTAR</t>
  </si>
  <si>
    <t>HDI SEGUROS</t>
  </si>
  <si>
    <t>Seguro Incendio</t>
  </si>
  <si>
    <t>LUIS ZUÑIGA</t>
  </si>
  <si>
    <t>CYNTHIA PAIRO</t>
  </si>
  <si>
    <t>METLIFE CHILE</t>
  </si>
  <si>
    <t>Poliza seguro Directorio</t>
  </si>
  <si>
    <t xml:space="preserve">Recarga Cabaña  Coñaripe </t>
  </si>
  <si>
    <t>AGUAS ANGINAS</t>
  </si>
  <si>
    <t>Consumo Agua</t>
  </si>
  <si>
    <t>Compras varias Loncura</t>
  </si>
  <si>
    <t>SUELDOS</t>
  </si>
  <si>
    <t>MEHUIN</t>
  </si>
  <si>
    <t xml:space="preserve">Impto. Unico </t>
  </si>
  <si>
    <t>CARLOS CACERES</t>
  </si>
  <si>
    <t>Internet y cable Loncura</t>
  </si>
  <si>
    <t>Devolucion saldo Fondos por Rendir Caja Chica</t>
  </si>
  <si>
    <t>Arts. Aseo Hogar Febrero</t>
  </si>
  <si>
    <t>CARLOS VERDUGO</t>
  </si>
  <si>
    <t>DORIS ORTEGA</t>
  </si>
  <si>
    <t xml:space="preserve">CRISTINA SILVA </t>
  </si>
  <si>
    <t>YANET VASQUEZ</t>
  </si>
  <si>
    <t>Recarga Cabañas Coñaripe</t>
  </si>
  <si>
    <t>LILIAN HUANCA</t>
  </si>
  <si>
    <t>Serv. Reuniones varias</t>
  </si>
  <si>
    <t>Consumo luz</t>
  </si>
  <si>
    <t>ANEJUD REGIONAL COYHAIQUE</t>
  </si>
  <si>
    <t>NAYARET QUEVEDO</t>
  </si>
  <si>
    <t>SANCHEZ Y CIA. LTDA</t>
  </si>
  <si>
    <t>Retenciones e impto. Único Febrero</t>
  </si>
  <si>
    <t>JUAN VILLAR</t>
  </si>
  <si>
    <t>Abono Cortinas Loncura</t>
  </si>
  <si>
    <t>Marzo</t>
  </si>
  <si>
    <t>Servicios audiovisuales febrero y marzo</t>
  </si>
  <si>
    <t>ABRIL 2019</t>
  </si>
  <si>
    <t>SALDO EN CTA. CTE. AL 30/04/2019</t>
  </si>
  <si>
    <t>Deposito erroneo Reg. Talca</t>
  </si>
  <si>
    <t>PIER MARCHIONI</t>
  </si>
  <si>
    <t>Devolución Diferencia Fdos Juegos</t>
  </si>
  <si>
    <t>Deposito erroneo Reg. Santiago</t>
  </si>
  <si>
    <t>JULIO HORMAZABAL</t>
  </si>
  <si>
    <t>GLADYS RAMIREZ</t>
  </si>
  <si>
    <t>Cheque Devuelto Loncura</t>
  </si>
  <si>
    <t>Confeccion Instalacion tapices Coñaripe Cab N°1</t>
  </si>
  <si>
    <t>Pilas y Ampolletas Hogar A, B, C</t>
  </si>
  <si>
    <t>RAUL ARAYA</t>
  </si>
  <si>
    <t>Movilizacion Supervision trabajos Loncura</t>
  </si>
  <si>
    <t>EVENTOS Y CONVENCIONES DREAMS</t>
  </si>
  <si>
    <t>Abono Hotel Alimentacion Juegos</t>
  </si>
  <si>
    <t>Abono Hotel Alojamiento Juegos</t>
  </si>
  <si>
    <t>Trabajos Mantencion Hogar A, B, C</t>
  </si>
  <si>
    <t>MUEBLES E INSTALACIONES</t>
  </si>
  <si>
    <t>COMERCIAL TEXTIL NOGUERA</t>
  </si>
  <si>
    <t>Compra pendrive Regionales y Oficina</t>
  </si>
  <si>
    <t>Compra focos Loncura</t>
  </si>
  <si>
    <t>Ampolletas Loncura</t>
  </si>
  <si>
    <t>Materiales varios Loncura</t>
  </si>
  <si>
    <t>PEDRO SANTANA</t>
  </si>
  <si>
    <t>Abono trabajos electricos</t>
  </si>
  <si>
    <t>Pintura Loncura</t>
  </si>
  <si>
    <t>COLCHONES ROSEN</t>
  </si>
  <si>
    <t>Colchones y Almohadas Loncura</t>
  </si>
  <si>
    <t>Reunion igualdad y no discriminacion Marzo</t>
  </si>
  <si>
    <t>Compra Aplique Loncura</t>
  </si>
  <si>
    <t>16 Detergentes Hogar y otros</t>
  </si>
  <si>
    <t>Fondos Caja Chica Secretaria</t>
  </si>
  <si>
    <t>VICTOR FERNANDEZ</t>
  </si>
  <si>
    <t>Verduras Atencion Loncura</t>
  </si>
  <si>
    <t>At. Reuniones varias</t>
  </si>
  <si>
    <t>CONVENCION NACIONAL</t>
  </si>
  <si>
    <t>Publicacion Convocatoria 4ta Convencion</t>
  </si>
  <si>
    <t>EL MERCURIO SAP</t>
  </si>
  <si>
    <t>Atención Reunión Directorio Nac. y coffes</t>
  </si>
  <si>
    <t>Atencion CNJ y coffes</t>
  </si>
  <si>
    <t>Pasaje Reunion Lilian Huanca Directorio y Convencion</t>
  </si>
  <si>
    <t>Asist. Reunión Directorio Extraordinaria y CNJ</t>
  </si>
  <si>
    <t>viático Asist. Reunión Directorio Extraordinaria y CNJ</t>
  </si>
  <si>
    <t>Asistencia Reunión Extraordinaria</t>
  </si>
  <si>
    <t>Reunion Psicosocial Corte Suprema</t>
  </si>
  <si>
    <t>Pasaje Roxalba Oxa Ponte la camiseta y Convencion</t>
  </si>
  <si>
    <t>Viáticos Reunion Extraordinaria</t>
  </si>
  <si>
    <t>Taxi Reunion Directorio Marzo</t>
  </si>
  <si>
    <t>ANDRES SALINAS ANTISOL</t>
  </si>
  <si>
    <t>Mamparas Loncura Extructura Metalica</t>
  </si>
  <si>
    <t>Viático Reunión Directorio</t>
  </si>
  <si>
    <t>APRAJUD</t>
  </si>
  <si>
    <t>Devolucion Deposito mal efectuado</t>
  </si>
  <si>
    <t>Flete despacho contabilidad 2017</t>
  </si>
  <si>
    <t>LORENA GAVILAN MATUS</t>
  </si>
  <si>
    <t>Lavados 106 prendas ropa de cama Coñaripe</t>
  </si>
  <si>
    <t>50% pasajes 2do. Consultivo Jovenes</t>
  </si>
  <si>
    <t>Abril</t>
  </si>
  <si>
    <t>AFP HABITAT</t>
  </si>
  <si>
    <t>AFP MODELO</t>
  </si>
  <si>
    <t>RENE MARINO BUSTOS</t>
  </si>
  <si>
    <t>Traslado Contabilidad 2017 Terminal de bus</t>
  </si>
  <si>
    <t>50% pasaje 1er Consultivo Abril</t>
  </si>
  <si>
    <t>CONTRIBUCIONES</t>
  </si>
  <si>
    <t>Asistencia Reunion Directorio y Consultivo Marzo</t>
  </si>
  <si>
    <t>Viáticos Reuníón Directorio y Consultivo Marzo</t>
  </si>
  <si>
    <t>Compra ampolleta y bencina quimica</t>
  </si>
  <si>
    <t>Reembolso compra pan y otros at. Maestros</t>
  </si>
  <si>
    <t>Pasaje Reunión Extraordinaria Abril</t>
  </si>
  <si>
    <t>Viatico Reunion Extraordinaria Abril</t>
  </si>
  <si>
    <t>COMERCIALIZADORA GLOBO MARKETING</t>
  </si>
  <si>
    <t>150 Mug Acero inoxidable y plastico</t>
  </si>
  <si>
    <t>Reunion ISP Mujer Marzo</t>
  </si>
  <si>
    <t>Anticipo sueldo</t>
  </si>
  <si>
    <t>Compra Jumbo Convencion</t>
  </si>
  <si>
    <t>COM E IMPORT AMT SPA</t>
  </si>
  <si>
    <t>BIP S.A.</t>
  </si>
  <si>
    <t>50 pendrive Ponte la Camiseta</t>
  </si>
  <si>
    <t>GERARDO TRUJILLO</t>
  </si>
  <si>
    <t>Compra materiales varios Loncura</t>
  </si>
  <si>
    <t>Pasaje Reunion Karin Mendoza Directorio</t>
  </si>
  <si>
    <t>RUBEN SFEIR E HIJOS</t>
  </si>
  <si>
    <t>Compra de Implementos y Cristaleria Loncura</t>
  </si>
  <si>
    <t>Pasaje Convencion Karin Mendoza</t>
  </si>
  <si>
    <t>Movilizacion Loncura Revision Cocina e Implement.</t>
  </si>
  <si>
    <t>Compra Pintura y otros</t>
  </si>
  <si>
    <t>Fondos por rendir Loncura Tapas</t>
  </si>
  <si>
    <t>Movilizacion Cristaleria e compra plasticos Loncura</t>
  </si>
  <si>
    <t>COMERCIAL SALDOS SPA</t>
  </si>
  <si>
    <t>Compra 48 vinos Convencion</t>
  </si>
  <si>
    <t>Reunion ISP Mujer Abril</t>
  </si>
  <si>
    <t>Reunion Gran Logia</t>
  </si>
  <si>
    <t>CLAUDIO RIQUELME GONZALEZ</t>
  </si>
  <si>
    <t>Lienzo Convencion</t>
  </si>
  <si>
    <t>JUANA CARRILLO TORRES</t>
  </si>
  <si>
    <t>Devolucion Cuota social Marzo a Sept</t>
  </si>
  <si>
    <t>SOC DISTRIBUIDORA COM XIMA LTDA</t>
  </si>
  <si>
    <t>Compra carnes Convencion</t>
  </si>
  <si>
    <t>Cambio pasaje Karin Mendoza Abril</t>
  </si>
  <si>
    <t>Viáticos 12 al 15 Abril</t>
  </si>
  <si>
    <t>MAPFRE SEGUROS</t>
  </si>
  <si>
    <t>Seguro incendio</t>
  </si>
  <si>
    <t>TATIANA ALBORNOZ</t>
  </si>
  <si>
    <t>SOC. PESQUERA MARLIMAR</t>
  </si>
  <si>
    <t>Abono 50 % y saldo limpiapes Loncura</t>
  </si>
  <si>
    <t>PAULA NOVOA CAMUS</t>
  </si>
  <si>
    <t>Asist. Reuniones varias Abril</t>
  </si>
  <si>
    <t>Aporte Conjunto flolclorico Arica Nov y Dic</t>
  </si>
  <si>
    <t>CLAUDIO SANTIBAÑEZ</t>
  </si>
  <si>
    <t>Compra remedios Convencion</t>
  </si>
  <si>
    <t>Compra pescados y mariscos Convencion</t>
  </si>
  <si>
    <t>Mantención jardín Loncura Marzo y Abril</t>
  </si>
  <si>
    <t>Arreglo mesas Loncura</t>
  </si>
  <si>
    <t>Mantención cabañas Coñaripe Abril</t>
  </si>
  <si>
    <t>Viaticos Reunion Igualdad ISP 23 al 26 Abril</t>
  </si>
  <si>
    <t>Mantención cabaña Mehuin Abril</t>
  </si>
  <si>
    <t>Asesoria Logistica Abril</t>
  </si>
  <si>
    <t>Fondos x rendir Compras Convencion Loncura</t>
  </si>
  <si>
    <t>Grabadora Digital</t>
  </si>
  <si>
    <t>JAVIER PAREDES MAUREL</t>
  </si>
  <si>
    <t>Reparacion y mantencion motobombas Loncura</t>
  </si>
  <si>
    <t>Fondos x rendir Convencion</t>
  </si>
  <si>
    <t>Atencion Reunion Directorio Abril y coffes</t>
  </si>
  <si>
    <t>Asistencia Reunión Directorio 25 Abril</t>
  </si>
  <si>
    <t>Asistencia Reunión Directorio 5 Abril</t>
  </si>
  <si>
    <t>Viaticos Reunion Directorio Nacional 25 Abril</t>
  </si>
  <si>
    <t>Viaticos Reunion Direcorio 5 Abril</t>
  </si>
  <si>
    <t>Movilizacion Asistencia Cmte Meta Gestion</t>
  </si>
  <si>
    <t>Viatico Asistencia Cmte Meta Gestion 2019</t>
  </si>
  <si>
    <t>Pasaje Convencion Manuel Alvarado</t>
  </si>
  <si>
    <t>CORPORACION ADMINISTRATIVA PODER JUDICIAL</t>
  </si>
  <si>
    <t>Devolucion Cuota Social Macarena Oyarzun</t>
  </si>
  <si>
    <t>Asesoria Logistica Convencion Nacional</t>
  </si>
  <si>
    <t>Serv. Desayunos Abril</t>
  </si>
  <si>
    <t>Movilizacion taxi pasajes varias reuniones Marzo Abril</t>
  </si>
  <si>
    <t>Viaticos Modern Juridic Consultivo Reunion D.Nac</t>
  </si>
  <si>
    <t>Asistencia Reunion Directorio Abril</t>
  </si>
  <si>
    <t>Viaticos Reunion Directorio Abril</t>
  </si>
  <si>
    <t>Reemplazo Pedro Caceres Abril</t>
  </si>
  <si>
    <t>Reunion ISP Coordinac Consejo Sup Reunion Nac</t>
  </si>
  <si>
    <t>Aseo y mantención Abril</t>
  </si>
  <si>
    <t>Asesoría Jurídica Marzo</t>
  </si>
  <si>
    <t>Asesoria Comité Ejecutivo Abril</t>
  </si>
  <si>
    <t>Asesoría Abril</t>
  </si>
  <si>
    <t xml:space="preserve">Contribuciones </t>
  </si>
  <si>
    <t>MARCELA MARTINEZ</t>
  </si>
  <si>
    <t xml:space="preserve">Viaje a Coñaripe Invitacion </t>
  </si>
  <si>
    <t>SANTIAGO, MAYO 2019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</si>
</sst>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* #,##0.00_-;\-&quot;$&quot;* #,##0.00_-;_-&quot;$&quot;* &quot;-&quot;??_-;_-@_-"/>
    <numFmt numFmtId="181" formatCode="#,##0;[Red]#,##0"/>
    <numFmt numFmtId="182" formatCode="&quot;$&quot;#,##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6"/>
      <name val="Times New Roman"/>
      <family val="1"/>
    </font>
    <font>
      <b/>
      <sz val="9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medium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>
        <color indexed="16"/>
      </bottom>
    </border>
    <border>
      <left style="medium"/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theme="5" tint="-0.24997000396251678"/>
      </bottom>
    </border>
    <border>
      <left>
        <color indexed="63"/>
      </left>
      <right style="medium">
        <color theme="5" tint="-0.24997000396251678"/>
      </right>
      <top>
        <color indexed="63"/>
      </top>
      <bottom>
        <color indexed="63"/>
      </bottom>
    </border>
    <border>
      <left style="thin">
        <color indexed="16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indexed="16"/>
      </right>
      <top>
        <color indexed="63"/>
      </top>
      <bottom style="medium">
        <color theme="5" tint="-0.24997000396251678"/>
      </bottom>
    </border>
    <border>
      <left>
        <color indexed="63"/>
      </left>
      <right style="medium">
        <color indexed="16"/>
      </right>
      <top>
        <color indexed="63"/>
      </top>
      <bottom style="medium">
        <color theme="5" tint="-0.24997000396251678"/>
      </bottom>
    </border>
    <border>
      <left style="medium">
        <color indexed="16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indexed="16"/>
      </left>
      <right style="medium">
        <color theme="5" tint="-0.4999699890613556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4999699890613556"/>
      </right>
      <top>
        <color indexed="63"/>
      </top>
      <bottom>
        <color indexed="63"/>
      </bottom>
    </border>
    <border>
      <left style="medium">
        <color rgb="FF800000"/>
      </left>
      <right style="medium">
        <color rgb="FF800000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rgb="FF800000"/>
      </left>
      <right style="medium">
        <color rgb="FF800000"/>
      </right>
      <top>
        <color indexed="63"/>
      </top>
      <bottom style="medium">
        <color theme="5" tint="-0.24997000396251678"/>
      </bottom>
    </border>
    <border>
      <left style="thin">
        <color indexed="16"/>
      </left>
      <right style="medium">
        <color indexed="16"/>
      </right>
      <top>
        <color indexed="63"/>
      </top>
      <bottom style="medium">
        <color theme="5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9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20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81" fontId="8" fillId="32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81" fontId="3" fillId="0" borderId="14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81" fontId="2" fillId="0" borderId="15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181" fontId="13" fillId="0" borderId="13" xfId="0" applyNumberFormat="1" applyFont="1" applyFill="1" applyBorder="1" applyAlignment="1">
      <alignment/>
    </xf>
    <xf numFmtId="181" fontId="13" fillId="0" borderId="13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81" fontId="3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181" fontId="6" fillId="34" borderId="16" xfId="0" applyNumberFormat="1" applyFont="1" applyFill="1" applyBorder="1" applyAlignment="1">
      <alignment horizontal="right"/>
    </xf>
    <xf numFmtId="181" fontId="6" fillId="34" borderId="17" xfId="0" applyNumberFormat="1" applyFont="1" applyFill="1" applyBorder="1" applyAlignment="1">
      <alignment horizontal="right"/>
    </xf>
    <xf numFmtId="0" fontId="6" fillId="34" borderId="20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181" fontId="8" fillId="33" borderId="24" xfId="0" applyNumberFormat="1" applyFont="1" applyFill="1" applyBorder="1" applyAlignment="1">
      <alignment/>
    </xf>
    <xf numFmtId="181" fontId="2" fillId="0" borderId="25" xfId="0" applyNumberFormat="1" applyFont="1" applyFill="1" applyBorder="1" applyAlignment="1">
      <alignment/>
    </xf>
    <xf numFmtId="181" fontId="4" fillId="0" borderId="25" xfId="0" applyNumberFormat="1" applyFont="1" applyFill="1" applyBorder="1" applyAlignment="1">
      <alignment/>
    </xf>
    <xf numFmtId="0" fontId="8" fillId="32" borderId="26" xfId="0" applyFont="1" applyFill="1" applyBorder="1" applyAlignment="1">
      <alignment/>
    </xf>
    <xf numFmtId="0" fontId="7" fillId="32" borderId="27" xfId="0" applyFont="1" applyFill="1" applyBorder="1" applyAlignment="1">
      <alignment/>
    </xf>
    <xf numFmtId="0" fontId="8" fillId="32" borderId="10" xfId="0" applyFont="1" applyFill="1" applyBorder="1" applyAlignment="1">
      <alignment horizontal="center" wrapText="1"/>
    </xf>
    <xf numFmtId="181" fontId="4" fillId="32" borderId="28" xfId="0" applyNumberFormat="1" applyFont="1" applyFill="1" applyBorder="1" applyAlignment="1">
      <alignment/>
    </xf>
    <xf numFmtId="0" fontId="7" fillId="32" borderId="28" xfId="0" applyFont="1" applyFill="1" applyBorder="1" applyAlignment="1">
      <alignment/>
    </xf>
    <xf numFmtId="0" fontId="8" fillId="33" borderId="22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181" fontId="3" fillId="33" borderId="17" xfId="0" applyNumberFormat="1" applyFont="1" applyFill="1" applyBorder="1" applyAlignment="1">
      <alignment/>
    </xf>
    <xf numFmtId="16" fontId="2" fillId="0" borderId="29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8" fillId="33" borderId="24" xfId="0" applyNumberFormat="1" applyFont="1" applyFill="1" applyBorder="1" applyAlignment="1">
      <alignment horizontal="center"/>
    </xf>
    <xf numFmtId="16" fontId="2" fillId="0" borderId="3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8" fillId="33" borderId="31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15" xfId="0" applyFont="1" applyFill="1" applyBorder="1" applyAlignment="1">
      <alignment horizontal="right"/>
    </xf>
    <xf numFmtId="0" fontId="6" fillId="34" borderId="16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181" fontId="4" fillId="0" borderId="32" xfId="0" applyNumberFormat="1" applyFont="1" applyFill="1" applyBorder="1" applyAlignment="1">
      <alignment/>
    </xf>
    <xf numFmtId="181" fontId="3" fillId="0" borderId="32" xfId="0" applyNumberFormat="1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181" fontId="4" fillId="0" borderId="18" xfId="0" applyNumberFormat="1" applyFont="1" applyFill="1" applyBorder="1" applyAlignment="1">
      <alignment/>
    </xf>
    <xf numFmtId="0" fontId="2" fillId="0" borderId="34" xfId="0" applyFont="1" applyFill="1" applyBorder="1" applyAlignment="1">
      <alignment/>
    </xf>
    <xf numFmtId="181" fontId="2" fillId="0" borderId="18" xfId="0" applyNumberFormat="1" applyFont="1" applyFill="1" applyBorder="1" applyAlignment="1">
      <alignment/>
    </xf>
    <xf numFmtId="181" fontId="6" fillId="34" borderId="31" xfId="0" applyNumberFormat="1" applyFont="1" applyFill="1" applyBorder="1" applyAlignment="1">
      <alignment horizontal="right"/>
    </xf>
    <xf numFmtId="0" fontId="6" fillId="34" borderId="35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17" fontId="2" fillId="0" borderId="12" xfId="0" applyNumberFormat="1" applyFont="1" applyFill="1" applyBorder="1" applyAlignment="1">
      <alignment/>
    </xf>
    <xf numFmtId="0" fontId="2" fillId="0" borderId="37" xfId="0" applyFont="1" applyFill="1" applyBorder="1" applyAlignment="1">
      <alignment/>
    </xf>
    <xf numFmtId="181" fontId="3" fillId="0" borderId="38" xfId="0" applyNumberFormat="1" applyFont="1" applyFill="1" applyBorder="1" applyAlignment="1">
      <alignment/>
    </xf>
    <xf numFmtId="181" fontId="3" fillId="0" borderId="39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181" fontId="3" fillId="0" borderId="40" xfId="0" applyNumberFormat="1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81" fontId="3" fillId="0" borderId="42" xfId="0" applyNumberFormat="1" applyFont="1" applyFill="1" applyBorder="1" applyAlignment="1">
      <alignment/>
    </xf>
    <xf numFmtId="181" fontId="2" fillId="0" borderId="42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181" fontId="2" fillId="0" borderId="32" xfId="0" applyNumberFormat="1" applyFont="1" applyFill="1" applyBorder="1" applyAlignment="1">
      <alignment/>
    </xf>
    <xf numFmtId="181" fontId="3" fillId="0" borderId="36" xfId="0" applyNumberFormat="1" applyFont="1" applyFill="1" applyBorder="1" applyAlignment="1">
      <alignment/>
    </xf>
    <xf numFmtId="181" fontId="2" fillId="0" borderId="38" xfId="0" applyNumberFormat="1" applyFont="1" applyFill="1" applyBorder="1" applyAlignment="1">
      <alignment/>
    </xf>
    <xf numFmtId="181" fontId="3" fillId="0" borderId="43" xfId="0" applyNumberFormat="1" applyFont="1" applyFill="1" applyBorder="1" applyAlignment="1">
      <alignment/>
    </xf>
    <xf numFmtId="181" fontId="3" fillId="0" borderId="44" xfId="0" applyNumberFormat="1" applyFont="1" applyFill="1" applyBorder="1" applyAlignment="1">
      <alignment/>
    </xf>
    <xf numFmtId="17" fontId="2" fillId="0" borderId="4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1200150</xdr:colOff>
      <xdr:row>3</xdr:row>
      <xdr:rowOff>28575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rcRect t="11503"/>
        <a:stretch>
          <a:fillRect/>
        </a:stretch>
      </xdr:blipFill>
      <xdr:spPr>
        <a:xfrm>
          <a:off x="19050" y="0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2</xdr:col>
      <xdr:colOff>76200</xdr:colOff>
      <xdr:row>1</xdr:row>
      <xdr:rowOff>257175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171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G246"/>
  <sheetViews>
    <sheetView tabSelected="1" zoomScalePageLayoutView="0" workbookViewId="0" topLeftCell="A1">
      <pane ySplit="7" topLeftCell="A210" activePane="bottomLeft" state="frozen"/>
      <selection pane="topLeft" activeCell="A1" sqref="A1"/>
      <selection pane="bottomLeft" activeCell="D221" sqref="D221"/>
    </sheetView>
  </sheetViews>
  <sheetFormatPr defaultColWidth="11.421875" defaultRowHeight="12.75" outlineLevelRow="2"/>
  <cols>
    <col min="1" max="1" width="2.140625" style="1" customWidth="1"/>
    <col min="2" max="2" width="42.28125" style="1" customWidth="1"/>
    <col min="3" max="3" width="7.28125" style="1" hidden="1" customWidth="1"/>
    <col min="4" max="4" width="37.8515625" style="1" customWidth="1"/>
    <col min="5" max="5" width="14.140625" style="1" customWidth="1"/>
    <col min="6" max="6" width="13.421875" style="1" customWidth="1"/>
    <col min="7" max="7" width="14.00390625" style="1" customWidth="1"/>
    <col min="8" max="16384" width="11.421875" style="1" customWidth="1"/>
  </cols>
  <sheetData>
    <row r="1" ht="11.25"/>
    <row r="2" ht="11.25"/>
    <row r="3" ht="11.25"/>
    <row r="4" spans="2:7" ht="22.5" customHeight="1">
      <c r="B4" s="34" t="s">
        <v>17</v>
      </c>
      <c r="C4" s="2"/>
      <c r="D4" s="2"/>
      <c r="E4" s="3"/>
      <c r="F4" s="4"/>
      <c r="G4" s="4"/>
    </row>
    <row r="5" spans="2:7" ht="14.25">
      <c r="B5" s="35" t="s">
        <v>139</v>
      </c>
      <c r="C5" s="10"/>
      <c r="D5" s="10"/>
      <c r="E5" s="3"/>
      <c r="F5" s="4"/>
      <c r="G5" s="4"/>
    </row>
    <row r="6" spans="4:7" ht="12.75" thickBot="1">
      <c r="D6" s="23"/>
      <c r="E6" s="36"/>
      <c r="F6" s="37" t="s">
        <v>30</v>
      </c>
      <c r="G6" s="36">
        <v>100832020</v>
      </c>
    </row>
    <row r="7" spans="2:7" ht="24" customHeight="1" thickBot="1">
      <c r="B7" s="41" t="s">
        <v>0</v>
      </c>
      <c r="C7" s="86" t="s">
        <v>35</v>
      </c>
      <c r="D7" s="41" t="s">
        <v>48</v>
      </c>
      <c r="E7" s="41"/>
      <c r="F7" s="41" t="s">
        <v>1</v>
      </c>
      <c r="G7" s="41" t="s">
        <v>2</v>
      </c>
    </row>
    <row r="8" spans="1:7" ht="12" outlineLevel="2">
      <c r="A8" s="5"/>
      <c r="B8" s="29" t="s">
        <v>3</v>
      </c>
      <c r="C8" s="87"/>
      <c r="D8" s="30"/>
      <c r="E8" s="24"/>
      <c r="F8" s="24"/>
      <c r="G8" s="24"/>
    </row>
    <row r="9" spans="1:7" ht="11.25" outlineLevel="2">
      <c r="A9" s="5"/>
      <c r="B9" s="30"/>
      <c r="C9" s="87"/>
      <c r="D9" s="30"/>
      <c r="E9" s="25"/>
      <c r="F9" s="38"/>
      <c r="G9" s="25"/>
    </row>
    <row r="10" spans="1:7" ht="15.75" customHeight="1" outlineLevel="2">
      <c r="A10" s="5"/>
      <c r="B10" s="31" t="s">
        <v>4</v>
      </c>
      <c r="C10" s="32"/>
      <c r="D10" s="46"/>
      <c r="E10" s="40"/>
      <c r="F10" s="39">
        <f>SUM(E11:E29)</f>
        <v>26383010</v>
      </c>
      <c r="G10" s="26"/>
    </row>
    <row r="11" spans="1:7" ht="15" customHeight="1" hidden="1" outlineLevel="2">
      <c r="A11" s="5"/>
      <c r="B11" s="27" t="s">
        <v>36</v>
      </c>
      <c r="C11" s="27">
        <v>88</v>
      </c>
      <c r="D11" s="20"/>
      <c r="E11" s="28">
        <v>466400</v>
      </c>
      <c r="F11" s="6"/>
      <c r="G11" s="26"/>
    </row>
    <row r="12" spans="1:7" ht="15" customHeight="1" hidden="1" outlineLevel="2">
      <c r="A12" s="5"/>
      <c r="B12" s="27" t="s">
        <v>31</v>
      </c>
      <c r="C12" s="27">
        <v>120</v>
      </c>
      <c r="D12" s="20"/>
      <c r="E12" s="28">
        <v>636000</v>
      </c>
      <c r="F12" s="6"/>
      <c r="G12" s="26"/>
    </row>
    <row r="13" spans="1:7" ht="15" customHeight="1" hidden="1" outlineLevel="2">
      <c r="A13" s="5"/>
      <c r="B13" s="27" t="s">
        <v>34</v>
      </c>
      <c r="C13" s="27">
        <f>248+1</f>
        <v>249</v>
      </c>
      <c r="D13" s="20"/>
      <c r="E13" s="28">
        <f>1314400+6630</f>
        <v>1321030</v>
      </c>
      <c r="F13" s="6"/>
      <c r="G13" s="26"/>
    </row>
    <row r="14" spans="1:7" ht="15" customHeight="1" hidden="1" outlineLevel="2">
      <c r="A14" s="5"/>
      <c r="B14" s="27" t="s">
        <v>37</v>
      </c>
      <c r="C14" s="27">
        <v>156</v>
      </c>
      <c r="D14" s="20"/>
      <c r="E14" s="28">
        <v>826800</v>
      </c>
      <c r="F14" s="6"/>
      <c r="G14" s="26"/>
    </row>
    <row r="15" spans="1:7" ht="15" customHeight="1" hidden="1" outlineLevel="2">
      <c r="A15" s="5"/>
      <c r="B15" s="27" t="s">
        <v>29</v>
      </c>
      <c r="C15" s="27">
        <v>186</v>
      </c>
      <c r="D15" s="20"/>
      <c r="E15" s="28">
        <v>985800</v>
      </c>
      <c r="F15" s="6"/>
      <c r="G15" s="26"/>
    </row>
    <row r="16" spans="1:7" ht="15" customHeight="1" hidden="1" outlineLevel="2">
      <c r="A16" s="5"/>
      <c r="B16" s="27" t="s">
        <v>38</v>
      </c>
      <c r="C16" s="27">
        <f>500+2</f>
        <v>502</v>
      </c>
      <c r="D16" s="20"/>
      <c r="E16" s="28">
        <f>25440+2120+2650000</f>
        <v>2677560</v>
      </c>
      <c r="F16" s="6"/>
      <c r="G16" s="26"/>
    </row>
    <row r="17" spans="1:7" ht="15" customHeight="1" hidden="1" outlineLevel="2">
      <c r="A17" s="5"/>
      <c r="B17" s="27" t="s">
        <v>39</v>
      </c>
      <c r="C17" s="27">
        <f>677+7</f>
        <v>684</v>
      </c>
      <c r="D17" s="20"/>
      <c r="E17" s="28">
        <f>5100+2120+2040+2040+2040+3588100+2160+2120</f>
        <v>3605720</v>
      </c>
      <c r="F17" s="6"/>
      <c r="G17" s="26"/>
    </row>
    <row r="18" spans="1:7" ht="15" customHeight="1" hidden="1" outlineLevel="2">
      <c r="A18" s="5"/>
      <c r="B18" s="27" t="s">
        <v>40</v>
      </c>
      <c r="C18" s="27">
        <v>147</v>
      </c>
      <c r="D18" s="20"/>
      <c r="E18" s="28">
        <f>779100</f>
        <v>779100</v>
      </c>
      <c r="F18" s="6"/>
      <c r="G18" s="26"/>
    </row>
    <row r="19" spans="1:7" ht="15" customHeight="1" hidden="1" outlineLevel="2">
      <c r="A19" s="5"/>
      <c r="B19" s="27" t="s">
        <v>27</v>
      </c>
      <c r="C19" s="27">
        <v>176</v>
      </c>
      <c r="D19" s="20"/>
      <c r="E19" s="28">
        <f>932800+932800</f>
        <v>1865600</v>
      </c>
      <c r="F19" s="6"/>
      <c r="G19" s="26"/>
    </row>
    <row r="20" spans="1:7" ht="15" customHeight="1" hidden="1" outlineLevel="2">
      <c r="A20" s="5"/>
      <c r="B20" s="27" t="s">
        <v>41</v>
      </c>
      <c r="C20" s="27">
        <v>396</v>
      </c>
      <c r="D20" s="20"/>
      <c r="E20" s="28">
        <v>2098800</v>
      </c>
      <c r="F20" s="6"/>
      <c r="G20" s="26"/>
    </row>
    <row r="21" spans="1:7" ht="15" customHeight="1" hidden="1" outlineLevel="2">
      <c r="A21" s="5"/>
      <c r="B21" s="27" t="s">
        <v>42</v>
      </c>
      <c r="C21" s="27">
        <v>171</v>
      </c>
      <c r="D21" s="20"/>
      <c r="E21" s="28">
        <v>906300</v>
      </c>
      <c r="F21" s="6"/>
      <c r="G21" s="26"/>
    </row>
    <row r="22" spans="1:7" ht="15" customHeight="1" hidden="1" outlineLevel="2">
      <c r="A22" s="5"/>
      <c r="B22" s="27" t="s">
        <v>43</v>
      </c>
      <c r="C22" s="27">
        <f>340+3</f>
        <v>343</v>
      </c>
      <c r="D22" s="20"/>
      <c r="E22" s="28">
        <f>6360+1796700+3000+5300</f>
        <v>1811360</v>
      </c>
      <c r="F22" s="6"/>
      <c r="G22" s="26"/>
    </row>
    <row r="23" spans="1:7" ht="15" customHeight="1" hidden="1" outlineLevel="2">
      <c r="A23" s="5"/>
      <c r="B23" s="27" t="s">
        <v>26</v>
      </c>
      <c r="C23" s="27">
        <v>108</v>
      </c>
      <c r="D23" s="20"/>
      <c r="E23" s="28">
        <v>572400</v>
      </c>
      <c r="F23" s="6"/>
      <c r="G23" s="26"/>
    </row>
    <row r="24" spans="1:7" ht="15" customHeight="1" hidden="1" outlineLevel="2">
      <c r="A24" s="5"/>
      <c r="B24" s="27" t="s">
        <v>44</v>
      </c>
      <c r="C24" s="27">
        <f>476+6</f>
        <v>482</v>
      </c>
      <c r="D24" s="20"/>
      <c r="E24" s="28">
        <f>2040+2522800+2120+21200+21200+4240+4240</f>
        <v>2577840</v>
      </c>
      <c r="F24" s="6"/>
      <c r="G24" s="26"/>
    </row>
    <row r="25" spans="1:7" ht="15" customHeight="1" hidden="1" outlineLevel="2">
      <c r="A25" s="5"/>
      <c r="B25" s="27" t="s">
        <v>32</v>
      </c>
      <c r="C25" s="27">
        <v>301</v>
      </c>
      <c r="D25" s="20"/>
      <c r="E25" s="28">
        <v>1595300</v>
      </c>
      <c r="F25" s="6"/>
      <c r="G25" s="26"/>
    </row>
    <row r="26" spans="1:7" ht="15" customHeight="1" hidden="1" outlineLevel="2">
      <c r="A26" s="5"/>
      <c r="B26" s="27" t="s">
        <v>45</v>
      </c>
      <c r="C26" s="27">
        <v>238</v>
      </c>
      <c r="D26" s="20"/>
      <c r="E26" s="28">
        <v>1261400</v>
      </c>
      <c r="F26" s="6"/>
      <c r="G26" s="26"/>
    </row>
    <row r="27" spans="1:7" ht="15" customHeight="1" hidden="1" outlineLevel="2">
      <c r="A27" s="5"/>
      <c r="B27" s="27" t="s">
        <v>33</v>
      </c>
      <c r="C27" s="27">
        <v>198</v>
      </c>
      <c r="D27" s="20"/>
      <c r="E27" s="28">
        <v>1049400</v>
      </c>
      <c r="F27" s="6"/>
      <c r="G27" s="26"/>
    </row>
    <row r="28" spans="1:7" ht="15" customHeight="1" hidden="1" outlineLevel="2">
      <c r="A28" s="5"/>
      <c r="B28" s="27" t="s">
        <v>46</v>
      </c>
      <c r="C28" s="27">
        <v>131</v>
      </c>
      <c r="D28" s="20"/>
      <c r="E28" s="28">
        <v>694300</v>
      </c>
      <c r="F28" s="6"/>
      <c r="G28" s="26"/>
    </row>
    <row r="29" spans="1:7" ht="14.25" customHeight="1" hidden="1" outlineLevel="2">
      <c r="A29" s="5"/>
      <c r="B29" s="27" t="s">
        <v>47</v>
      </c>
      <c r="C29" s="27">
        <f>114+1</f>
        <v>115</v>
      </c>
      <c r="D29" s="20"/>
      <c r="E29" s="40">
        <f>604200+47700</f>
        <v>651900</v>
      </c>
      <c r="F29" s="6"/>
      <c r="G29" s="26"/>
    </row>
    <row r="30" spans="1:7" ht="12" customHeight="1" outlineLevel="2">
      <c r="A30" s="44"/>
      <c r="B30" s="74"/>
      <c r="C30" s="5"/>
      <c r="D30" s="32"/>
      <c r="E30" s="40"/>
      <c r="F30" s="6"/>
      <c r="G30" s="26"/>
    </row>
    <row r="31" spans="1:7" ht="15" customHeight="1" outlineLevel="2">
      <c r="A31" s="44"/>
      <c r="B31" s="43" t="s">
        <v>5</v>
      </c>
      <c r="C31" s="11"/>
      <c r="D31" s="32"/>
      <c r="E31" s="28"/>
      <c r="F31" s="6"/>
      <c r="G31" s="26"/>
    </row>
    <row r="32" spans="1:7" ht="15" customHeight="1" outlineLevel="2">
      <c r="A32" s="5"/>
      <c r="B32" s="27" t="s">
        <v>68</v>
      </c>
      <c r="C32" s="27"/>
      <c r="D32" s="44" t="s">
        <v>91</v>
      </c>
      <c r="E32" s="28">
        <f>20000+10000+13333+15000+10000+20000+22500+20800+33333+20000+33333+15000+20000+10000+13333+13333+10000+20000+10000+10000+25000</f>
        <v>364965</v>
      </c>
      <c r="F32" s="6"/>
      <c r="G32" s="26"/>
    </row>
    <row r="33" spans="1:7" ht="15" customHeight="1" outlineLevel="2">
      <c r="A33" s="5"/>
      <c r="B33" s="27" t="s">
        <v>69</v>
      </c>
      <c r="C33" s="27"/>
      <c r="D33" s="44" t="s">
        <v>91</v>
      </c>
      <c r="E33" s="28">
        <f>20000+20000+20000+30000+40000+30000+20000+20000+30000+13333+20000+15000+13333+26667+28750+25000+16000+12500+13333+40000+20000+15000+40000+20000+13333</f>
        <v>562249</v>
      </c>
      <c r="F33" s="6"/>
      <c r="G33" s="26"/>
    </row>
    <row r="34" spans="1:7" ht="15" customHeight="1" outlineLevel="2">
      <c r="A34" s="5"/>
      <c r="B34" s="27" t="s">
        <v>39</v>
      </c>
      <c r="C34" s="27"/>
      <c r="D34" s="44" t="s">
        <v>118</v>
      </c>
      <c r="E34" s="28">
        <v>40000</v>
      </c>
      <c r="F34" s="6"/>
      <c r="G34" s="26"/>
    </row>
    <row r="35" spans="1:7" ht="15" customHeight="1" outlineLevel="2">
      <c r="A35" s="5"/>
      <c r="B35" s="27" t="s">
        <v>39</v>
      </c>
      <c r="C35" s="27"/>
      <c r="D35" s="44" t="s">
        <v>144</v>
      </c>
      <c r="E35" s="28">
        <v>321000</v>
      </c>
      <c r="F35" s="6"/>
      <c r="G35" s="26"/>
    </row>
    <row r="36" spans="1:7" ht="15" customHeight="1" outlineLevel="2">
      <c r="A36" s="5"/>
      <c r="B36" s="27" t="s">
        <v>43</v>
      </c>
      <c r="C36" s="27"/>
      <c r="D36" s="44" t="s">
        <v>141</v>
      </c>
      <c r="E36" s="28">
        <v>20000</v>
      </c>
      <c r="F36" s="6"/>
      <c r="G36" s="26"/>
    </row>
    <row r="37" spans="1:7" ht="15" customHeight="1" outlineLevel="2">
      <c r="A37" s="5"/>
      <c r="B37" s="27" t="s">
        <v>56</v>
      </c>
      <c r="C37" s="27"/>
      <c r="D37" s="44" t="s">
        <v>121</v>
      </c>
      <c r="E37" s="28">
        <v>4510</v>
      </c>
      <c r="F37" s="6"/>
      <c r="G37" s="26"/>
    </row>
    <row r="38" spans="1:7" ht="15" customHeight="1" outlineLevel="2">
      <c r="A38" s="5"/>
      <c r="B38" s="27" t="s">
        <v>142</v>
      </c>
      <c r="C38" s="27"/>
      <c r="D38" s="44" t="s">
        <v>143</v>
      </c>
      <c r="E38" s="40">
        <v>36740</v>
      </c>
      <c r="F38" s="6">
        <f>SUM(E32:E38)</f>
        <v>1349464</v>
      </c>
      <c r="G38" s="26"/>
    </row>
    <row r="39" spans="1:7" ht="15" customHeight="1" outlineLevel="2">
      <c r="A39" s="5"/>
      <c r="B39" s="27"/>
      <c r="C39" s="27"/>
      <c r="D39" s="44"/>
      <c r="E39" s="40"/>
      <c r="F39" s="6"/>
      <c r="G39" s="26"/>
    </row>
    <row r="40" spans="1:7" ht="15" customHeight="1" outlineLevel="2">
      <c r="A40" s="5"/>
      <c r="B40" s="27"/>
      <c r="C40" s="27"/>
      <c r="D40" s="44"/>
      <c r="E40" s="40"/>
      <c r="F40" s="6"/>
      <c r="G40" s="26"/>
    </row>
    <row r="41" spans="1:7" ht="15" customHeight="1" outlineLevel="2">
      <c r="A41" s="5" t="s">
        <v>7</v>
      </c>
      <c r="B41" s="31" t="s">
        <v>8</v>
      </c>
      <c r="C41" s="32"/>
      <c r="D41" s="46"/>
      <c r="E41" s="28"/>
      <c r="F41" s="6"/>
      <c r="G41" s="26"/>
    </row>
    <row r="42" spans="1:7" ht="15" customHeight="1" outlineLevel="2">
      <c r="A42" s="5"/>
      <c r="B42" s="27" t="s">
        <v>117</v>
      </c>
      <c r="C42" s="32"/>
      <c r="D42" s="44" t="s">
        <v>92</v>
      </c>
      <c r="E42" s="28">
        <f>35000+26250+25000+26250</f>
        <v>112500</v>
      </c>
      <c r="F42" s="6"/>
      <c r="G42" s="26"/>
    </row>
    <row r="43" spans="1:7" ht="15" customHeight="1" outlineLevel="2">
      <c r="A43" s="5"/>
      <c r="B43" s="27" t="s">
        <v>52</v>
      </c>
      <c r="C43" s="32"/>
      <c r="D43" s="44" t="s">
        <v>92</v>
      </c>
      <c r="E43" s="28">
        <f>35000+42000+42000+25000+42000+42000+210000+36000+42000+42000+42000+37500+37500+42000+30000+42000+42000+40000+42000+36000+42000+42000+42000+42000+42000+42000+42000+36000+42000</f>
        <v>1321000</v>
      </c>
      <c r="F43" s="6"/>
      <c r="G43" s="27"/>
    </row>
    <row r="44" spans="1:7" ht="15" customHeight="1" outlineLevel="2" thickBot="1">
      <c r="A44" s="5"/>
      <c r="B44" s="76" t="s">
        <v>9</v>
      </c>
      <c r="C44" s="32"/>
      <c r="D44" s="76" t="s">
        <v>92</v>
      </c>
      <c r="E44" s="93">
        <f>55688+30375+94500+55300+66000+99225+85050+99225+74000+155925+94500+56700+44500+40500+64500+85000+119625+63788+70875+65875+54675+30375+55687+94500+68430+53100+41587+110600+43250+30375+50625+63998+45563+74000+62015+40500+50625+108000+89100+55300+29000+110607+206600+131250+35438+65250+79434+100000+36000+53160+70875+195750+99225+29381+109265+63000+40500+81000+42880+63400+56700+155925+67035+54000+81746+97875+47105+118163+90403+70875+27000+53469+56700+33750+90000+172125+60750+67075+105005+43060+55721+65250+87000+87000+90119+88600+40500+64500+43393</f>
        <v>6556315</v>
      </c>
      <c r="F44" s="78">
        <f>SUM(E42:E44)</f>
        <v>7989815</v>
      </c>
      <c r="G44" s="78"/>
    </row>
    <row r="45" spans="1:7" ht="12" outlineLevel="2">
      <c r="A45" s="5"/>
      <c r="B45" s="42" t="s">
        <v>10</v>
      </c>
      <c r="C45" s="27"/>
      <c r="D45" s="44"/>
      <c r="E45" s="27"/>
      <c r="F45" s="6"/>
      <c r="G45" s="26"/>
    </row>
    <row r="46" spans="1:7" ht="15" customHeight="1" outlineLevel="2">
      <c r="A46" s="5"/>
      <c r="B46" s="31" t="s">
        <v>11</v>
      </c>
      <c r="C46" s="27"/>
      <c r="D46" s="46"/>
      <c r="E46" s="28"/>
      <c r="F46" s="6"/>
      <c r="G46" s="26"/>
    </row>
    <row r="47" spans="1:7" ht="14.25" customHeight="1" outlineLevel="2">
      <c r="A47" s="5"/>
      <c r="B47" s="27" t="s">
        <v>72</v>
      </c>
      <c r="C47" s="27"/>
      <c r="D47" s="44" t="s">
        <v>158</v>
      </c>
      <c r="E47" s="28">
        <v>31689</v>
      </c>
      <c r="F47" s="6"/>
      <c r="G47" s="26"/>
    </row>
    <row r="48" spans="1:7" ht="14.25" customHeight="1" outlineLevel="2">
      <c r="A48" s="5"/>
      <c r="B48" s="27" t="s">
        <v>72</v>
      </c>
      <c r="C48" s="27"/>
      <c r="D48" s="44" t="s">
        <v>257</v>
      </c>
      <c r="E48" s="28">
        <v>69990</v>
      </c>
      <c r="F48" s="6"/>
      <c r="G48" s="26"/>
    </row>
    <row r="49" spans="1:7" ht="14.25" customHeight="1" outlineLevel="2">
      <c r="A49" s="5"/>
      <c r="B49" s="27" t="s">
        <v>190</v>
      </c>
      <c r="C49" s="27"/>
      <c r="D49" s="44" t="s">
        <v>191</v>
      </c>
      <c r="E49" s="28">
        <f>642662+5000000</f>
        <v>5642662</v>
      </c>
      <c r="F49" s="6"/>
      <c r="G49" s="26"/>
    </row>
    <row r="50" spans="1:7" ht="14.25" customHeight="1" outlineLevel="2">
      <c r="A50" s="5"/>
      <c r="B50" s="27" t="s">
        <v>269</v>
      </c>
      <c r="C50" s="27"/>
      <c r="D50" s="44" t="s">
        <v>270</v>
      </c>
      <c r="E50" s="28">
        <v>5300</v>
      </c>
      <c r="F50" s="6"/>
      <c r="G50" s="26"/>
    </row>
    <row r="51" spans="1:7" ht="14.25" customHeight="1" outlineLevel="2">
      <c r="A51" s="5"/>
      <c r="B51" s="27" t="s">
        <v>233</v>
      </c>
      <c r="C51" s="27"/>
      <c r="D51" s="44" t="s">
        <v>234</v>
      </c>
      <c r="E51" s="28">
        <v>36700</v>
      </c>
      <c r="F51" s="6"/>
      <c r="G51" s="26"/>
    </row>
    <row r="52" spans="1:7" ht="14.25" customHeight="1" outlineLevel="2">
      <c r="A52" s="5"/>
      <c r="B52" s="27" t="s">
        <v>72</v>
      </c>
      <c r="C52" s="27"/>
      <c r="D52" s="44" t="s">
        <v>192</v>
      </c>
      <c r="E52" s="28">
        <v>31410</v>
      </c>
      <c r="F52" s="6"/>
      <c r="G52" s="26"/>
    </row>
    <row r="53" spans="1:7" ht="14.25" customHeight="1" outlineLevel="2">
      <c r="A53" s="5"/>
      <c r="B53" s="27" t="s">
        <v>199</v>
      </c>
      <c r="C53" s="27"/>
      <c r="D53" s="44" t="s">
        <v>200</v>
      </c>
      <c r="E53" s="28">
        <v>4000</v>
      </c>
      <c r="F53" s="6"/>
      <c r="G53" s="26"/>
    </row>
    <row r="54" spans="1:7" ht="14.25" customHeight="1" outlineLevel="2">
      <c r="A54" s="5"/>
      <c r="B54" s="27" t="s">
        <v>110</v>
      </c>
      <c r="C54" s="27"/>
      <c r="D54" s="44" t="s">
        <v>111</v>
      </c>
      <c r="E54" s="28">
        <v>40517</v>
      </c>
      <c r="F54" s="6"/>
      <c r="G54" s="26"/>
    </row>
    <row r="55" spans="1:7" ht="15" customHeight="1" outlineLevel="2">
      <c r="A55" s="5"/>
      <c r="B55" s="27" t="s">
        <v>18</v>
      </c>
      <c r="C55" s="27"/>
      <c r="D55" s="44" t="s">
        <v>61</v>
      </c>
      <c r="E55" s="28">
        <v>51398</v>
      </c>
      <c r="F55" s="6"/>
      <c r="G55" s="26"/>
    </row>
    <row r="56" spans="1:7" ht="15" customHeight="1" outlineLevel="2">
      <c r="A56" s="5"/>
      <c r="B56" s="27" t="s">
        <v>86</v>
      </c>
      <c r="C56" s="27"/>
      <c r="D56" s="44" t="s">
        <v>74</v>
      </c>
      <c r="E56" s="28">
        <v>112281</v>
      </c>
      <c r="F56" s="6"/>
      <c r="G56" s="26"/>
    </row>
    <row r="57" spans="1:7" ht="15" customHeight="1" outlineLevel="2">
      <c r="A57" s="5"/>
      <c r="B57" s="27" t="s">
        <v>25</v>
      </c>
      <c r="C57" s="27"/>
      <c r="D57" s="44" t="s">
        <v>89</v>
      </c>
      <c r="E57" s="28">
        <v>28734</v>
      </c>
      <c r="F57" s="6"/>
      <c r="G57" s="26"/>
    </row>
    <row r="58" spans="1:7" ht="15" customHeight="1" outlineLevel="2">
      <c r="A58" s="5"/>
      <c r="B58" s="27" t="s">
        <v>25</v>
      </c>
      <c r="C58" s="27"/>
      <c r="D58" s="44" t="s">
        <v>59</v>
      </c>
      <c r="E58" s="40">
        <f>31752+64438</f>
        <v>96190</v>
      </c>
      <c r="F58" s="6"/>
      <c r="G58" s="26">
        <f>SUM(E47:E58)</f>
        <v>6150871</v>
      </c>
    </row>
    <row r="59" spans="1:7" ht="15" customHeight="1" outlineLevel="2">
      <c r="A59" s="5"/>
      <c r="B59" s="27"/>
      <c r="C59" s="27"/>
      <c r="D59" s="44"/>
      <c r="E59" s="40"/>
      <c r="F59" s="6"/>
      <c r="G59" s="26"/>
    </row>
    <row r="60" spans="1:7" ht="15" customHeight="1" outlineLevel="2">
      <c r="A60" s="5"/>
      <c r="B60" s="31" t="s">
        <v>8</v>
      </c>
      <c r="C60" s="27"/>
      <c r="D60" s="46"/>
      <c r="E60" s="28"/>
      <c r="F60" s="6"/>
      <c r="G60" s="26"/>
    </row>
    <row r="61" spans="1:7" ht="14.25" customHeight="1" outlineLevel="2">
      <c r="A61" s="5"/>
      <c r="B61" s="27" t="s">
        <v>171</v>
      </c>
      <c r="C61" s="27"/>
      <c r="D61" s="44" t="s">
        <v>172</v>
      </c>
      <c r="E61" s="28">
        <f>92851+31401+63500+284750+72400+424150+47700</f>
        <v>1016752</v>
      </c>
      <c r="F61" s="6"/>
      <c r="G61" s="26"/>
    </row>
    <row r="62" spans="1:7" ht="14.25" customHeight="1" outlineLevel="2">
      <c r="A62" s="5"/>
      <c r="B62" s="27" t="s">
        <v>146</v>
      </c>
      <c r="C62" s="27"/>
      <c r="D62" s="44" t="s">
        <v>147</v>
      </c>
      <c r="E62" s="28">
        <v>74000</v>
      </c>
      <c r="F62" s="6"/>
      <c r="G62" s="26"/>
    </row>
    <row r="63" spans="1:7" ht="14.25" customHeight="1" outlineLevel="2">
      <c r="A63" s="5"/>
      <c r="B63" s="27" t="s">
        <v>241</v>
      </c>
      <c r="C63" s="27"/>
      <c r="D63" s="44" t="s">
        <v>147</v>
      </c>
      <c r="E63" s="28">
        <v>119625</v>
      </c>
      <c r="F63" s="6"/>
      <c r="G63" s="26"/>
    </row>
    <row r="64" spans="1:7" ht="14.25" customHeight="1" outlineLevel="2">
      <c r="A64" s="5"/>
      <c r="B64" s="27" t="s">
        <v>72</v>
      </c>
      <c r="C64" s="27"/>
      <c r="D64" s="44" t="s">
        <v>112</v>
      </c>
      <c r="E64" s="28">
        <f>10000+5000</f>
        <v>15000</v>
      </c>
      <c r="F64" s="6"/>
      <c r="G64" s="26"/>
    </row>
    <row r="65" spans="1:7" ht="14.25" customHeight="1" outlineLevel="2">
      <c r="A65" s="5"/>
      <c r="B65" s="27" t="s">
        <v>109</v>
      </c>
      <c r="C65" s="27"/>
      <c r="D65" s="44" t="s">
        <v>226</v>
      </c>
      <c r="E65" s="28">
        <v>24154</v>
      </c>
      <c r="F65" s="6"/>
      <c r="G65" s="26"/>
    </row>
    <row r="66" spans="1:7" ht="14.25" customHeight="1" outlineLevel="2">
      <c r="A66" s="5"/>
      <c r="B66" s="27" t="s">
        <v>109</v>
      </c>
      <c r="C66" s="27"/>
      <c r="D66" s="44" t="s">
        <v>127</v>
      </c>
      <c r="E66" s="28">
        <v>5000</v>
      </c>
      <c r="F66" s="6"/>
      <c r="G66" s="26"/>
    </row>
    <row r="67" spans="1:7" ht="15" customHeight="1" outlineLevel="2">
      <c r="A67" s="5"/>
      <c r="B67" s="27" t="s">
        <v>82</v>
      </c>
      <c r="C67" s="27"/>
      <c r="D67" s="44" t="s">
        <v>206</v>
      </c>
      <c r="E67" s="28">
        <v>29070</v>
      </c>
      <c r="F67" s="6"/>
      <c r="G67" s="26"/>
    </row>
    <row r="68" spans="1:7" ht="15" customHeight="1" outlineLevel="2">
      <c r="A68" s="5"/>
      <c r="B68" s="27" t="s">
        <v>108</v>
      </c>
      <c r="C68" s="27"/>
      <c r="D68" s="44" t="s">
        <v>148</v>
      </c>
      <c r="E68" s="28">
        <v>190000</v>
      </c>
      <c r="F68" s="6"/>
      <c r="G68" s="26"/>
    </row>
    <row r="69" spans="1:7" ht="15" customHeight="1" outlineLevel="2">
      <c r="A69" s="5"/>
      <c r="B69" s="27" t="s">
        <v>150</v>
      </c>
      <c r="C69" s="27"/>
      <c r="D69" s="44" t="s">
        <v>151</v>
      </c>
      <c r="E69" s="28">
        <f>140911+78175</f>
        <v>219086</v>
      </c>
      <c r="F69" s="6"/>
      <c r="G69" s="26"/>
    </row>
    <row r="70" spans="1:7" ht="15" customHeight="1" outlineLevel="2">
      <c r="A70" s="5"/>
      <c r="B70" s="27" t="s">
        <v>150</v>
      </c>
      <c r="C70" s="27"/>
      <c r="D70" s="44" t="s">
        <v>159</v>
      </c>
      <c r="E70" s="28">
        <v>429796</v>
      </c>
      <c r="F70" s="6"/>
      <c r="G70" s="26"/>
    </row>
    <row r="71" spans="1:7" ht="15" customHeight="1" outlineLevel="2">
      <c r="A71" s="5"/>
      <c r="B71" s="27" t="s">
        <v>150</v>
      </c>
      <c r="C71" s="27"/>
      <c r="D71" s="44" t="s">
        <v>160</v>
      </c>
      <c r="E71" s="28">
        <v>53264</v>
      </c>
      <c r="F71" s="6"/>
      <c r="G71" s="26"/>
    </row>
    <row r="72" spans="1:7" ht="15" customHeight="1" outlineLevel="2">
      <c r="A72" s="5"/>
      <c r="B72" s="27" t="s">
        <v>150</v>
      </c>
      <c r="C72" s="27"/>
      <c r="D72" s="44" t="s">
        <v>168</v>
      </c>
      <c r="E72" s="28">
        <v>35332</v>
      </c>
      <c r="F72" s="6"/>
      <c r="G72" s="26"/>
    </row>
    <row r="73" spans="1:7" ht="15" customHeight="1" outlineLevel="2">
      <c r="A73" s="5"/>
      <c r="B73" s="27" t="s">
        <v>150</v>
      </c>
      <c r="C73" s="27"/>
      <c r="D73" s="44" t="s">
        <v>205</v>
      </c>
      <c r="E73" s="28">
        <v>32903</v>
      </c>
      <c r="F73" s="6"/>
      <c r="G73" s="26"/>
    </row>
    <row r="74" spans="1:7" ht="15" customHeight="1" outlineLevel="2">
      <c r="A74" s="5"/>
      <c r="B74" s="27" t="s">
        <v>133</v>
      </c>
      <c r="C74" s="27"/>
      <c r="D74" s="44" t="s">
        <v>161</v>
      </c>
      <c r="E74" s="28">
        <v>172429</v>
      </c>
      <c r="F74" s="6"/>
      <c r="G74" s="26"/>
    </row>
    <row r="75" spans="1:7" ht="15" customHeight="1" outlineLevel="2">
      <c r="A75" s="5"/>
      <c r="B75" s="27" t="s">
        <v>133</v>
      </c>
      <c r="C75" s="27"/>
      <c r="D75" s="44" t="s">
        <v>164</v>
      </c>
      <c r="E75" s="28">
        <f>15656</f>
        <v>15656</v>
      </c>
      <c r="F75" s="6"/>
      <c r="G75" s="26"/>
    </row>
    <row r="76" spans="1:7" ht="15" customHeight="1" outlineLevel="2">
      <c r="A76" s="5"/>
      <c r="B76" s="27" t="s">
        <v>133</v>
      </c>
      <c r="C76" s="27"/>
      <c r="D76" s="44" t="s">
        <v>115</v>
      </c>
      <c r="E76" s="28">
        <v>116932</v>
      </c>
      <c r="F76" s="6"/>
      <c r="G76" s="26"/>
    </row>
    <row r="77" spans="1:7" ht="15" customHeight="1" outlineLevel="2">
      <c r="A77" s="5"/>
      <c r="B77" s="27" t="s">
        <v>133</v>
      </c>
      <c r="C77" s="27"/>
      <c r="D77" s="44" t="s">
        <v>224</v>
      </c>
      <c r="E77" s="28">
        <v>258331</v>
      </c>
      <c r="F77" s="6"/>
      <c r="G77" s="26"/>
    </row>
    <row r="78" spans="1:7" ht="15" customHeight="1" outlineLevel="2" thickBot="1">
      <c r="A78" s="5"/>
      <c r="B78" s="76" t="s">
        <v>162</v>
      </c>
      <c r="C78" s="76"/>
      <c r="D78" s="99" t="s">
        <v>163</v>
      </c>
      <c r="E78" s="100">
        <f>80000+205600</f>
        <v>285600</v>
      </c>
      <c r="F78" s="101"/>
      <c r="G78" s="78"/>
    </row>
    <row r="79" spans="1:7" ht="15" customHeight="1" outlineLevel="2">
      <c r="A79" s="5"/>
      <c r="B79" s="27" t="s">
        <v>217</v>
      </c>
      <c r="C79" s="27"/>
      <c r="D79" s="44" t="s">
        <v>251</v>
      </c>
      <c r="E79" s="28">
        <v>16700</v>
      </c>
      <c r="F79" s="6"/>
      <c r="G79" s="26"/>
    </row>
    <row r="80" spans="1:7" ht="15" customHeight="1" outlineLevel="2">
      <c r="A80" s="5"/>
      <c r="B80" s="27" t="s">
        <v>258</v>
      </c>
      <c r="C80" s="27"/>
      <c r="D80" s="44" t="s">
        <v>259</v>
      </c>
      <c r="E80" s="28">
        <v>403410</v>
      </c>
      <c r="F80" s="6"/>
      <c r="G80" s="26"/>
    </row>
    <row r="81" spans="1:7" ht="15" customHeight="1" outlineLevel="2">
      <c r="A81" s="5"/>
      <c r="B81" s="27" t="s">
        <v>214</v>
      </c>
      <c r="C81" s="27"/>
      <c r="D81" s="44" t="s">
        <v>243</v>
      </c>
      <c r="E81" s="28">
        <f>115668+115668</f>
        <v>231336</v>
      </c>
      <c r="F81" s="6"/>
      <c r="G81" s="26"/>
    </row>
    <row r="82" spans="1:7" ht="15" customHeight="1" outlineLevel="2">
      <c r="A82" s="5"/>
      <c r="B82" s="27" t="s">
        <v>217</v>
      </c>
      <c r="C82" s="27"/>
      <c r="D82" s="44" t="s">
        <v>218</v>
      </c>
      <c r="E82" s="28">
        <v>27500</v>
      </c>
      <c r="F82" s="6"/>
      <c r="G82" s="26"/>
    </row>
    <row r="83" spans="1:7" ht="15" customHeight="1" outlineLevel="2">
      <c r="A83" s="5"/>
      <c r="B83" s="27" t="s">
        <v>220</v>
      </c>
      <c r="C83" s="27"/>
      <c r="D83" s="44" t="s">
        <v>221</v>
      </c>
      <c r="E83" s="28">
        <v>724554</v>
      </c>
      <c r="F83" s="6"/>
      <c r="G83" s="26"/>
    </row>
    <row r="84" spans="1:7" ht="15" customHeight="1" outlineLevel="2">
      <c r="A84" s="5"/>
      <c r="B84" s="27" t="s">
        <v>106</v>
      </c>
      <c r="C84" s="27"/>
      <c r="D84" s="44" t="s">
        <v>107</v>
      </c>
      <c r="E84" s="28">
        <v>37313</v>
      </c>
      <c r="F84" s="6"/>
      <c r="G84" s="26"/>
    </row>
    <row r="85" spans="1:7" ht="15" customHeight="1" outlineLevel="2">
      <c r="A85" s="5"/>
      <c r="B85" s="27" t="s">
        <v>83</v>
      </c>
      <c r="C85" s="27"/>
      <c r="D85" s="44" t="s">
        <v>252</v>
      </c>
      <c r="E85" s="28">
        <v>150000</v>
      </c>
      <c r="F85" s="6"/>
      <c r="G85" s="26"/>
    </row>
    <row r="86" spans="1:7" ht="15" customHeight="1" outlineLevel="2">
      <c r="A86" s="5"/>
      <c r="B86" s="27" t="s">
        <v>73</v>
      </c>
      <c r="C86" s="27"/>
      <c r="D86" s="44" t="s">
        <v>254</v>
      </c>
      <c r="E86" s="28">
        <v>25000</v>
      </c>
      <c r="F86" s="6"/>
      <c r="G86" s="26"/>
    </row>
    <row r="87" spans="1:7" ht="15" customHeight="1" outlineLevel="2">
      <c r="A87" s="5"/>
      <c r="B87" s="27" t="s">
        <v>145</v>
      </c>
      <c r="C87" s="27"/>
      <c r="D87" s="44" t="s">
        <v>250</v>
      </c>
      <c r="E87" s="28">
        <f>125000+250000</f>
        <v>375000</v>
      </c>
      <c r="F87" s="6"/>
      <c r="G87" s="26"/>
    </row>
    <row r="88" spans="1:7" ht="15" customHeight="1" outlineLevel="2">
      <c r="A88" s="5"/>
      <c r="B88" s="27" t="s">
        <v>284</v>
      </c>
      <c r="C88" s="27"/>
      <c r="D88" s="44" t="s">
        <v>285</v>
      </c>
      <c r="E88" s="28">
        <v>48500</v>
      </c>
      <c r="F88" s="6"/>
      <c r="G88" s="26"/>
    </row>
    <row r="89" spans="1:7" ht="15" customHeight="1" outlineLevel="2">
      <c r="A89" s="5"/>
      <c r="B89" s="27" t="s">
        <v>193</v>
      </c>
      <c r="C89" s="27"/>
      <c r="D89" s="44" t="s">
        <v>194</v>
      </c>
      <c r="E89" s="28">
        <v>371000</v>
      </c>
      <c r="F89" s="6"/>
      <c r="G89" s="26"/>
    </row>
    <row r="90" spans="1:7" ht="15" customHeight="1" outlineLevel="2">
      <c r="A90" s="5"/>
      <c r="B90" s="27" t="s">
        <v>67</v>
      </c>
      <c r="C90" s="27"/>
      <c r="D90" s="44" t="s">
        <v>88</v>
      </c>
      <c r="E90" s="28">
        <f>16300+27500</f>
        <v>43800</v>
      </c>
      <c r="F90" s="6"/>
      <c r="G90" s="26"/>
    </row>
    <row r="91" spans="1:7" ht="15" customHeight="1" outlineLevel="2">
      <c r="A91" s="5"/>
      <c r="B91" s="27" t="s">
        <v>105</v>
      </c>
      <c r="C91" s="27"/>
      <c r="D91" s="44" t="s">
        <v>120</v>
      </c>
      <c r="E91" s="28">
        <f>17090+49627+49460+16526</f>
        <v>132703</v>
      </c>
      <c r="F91" s="6"/>
      <c r="G91" s="26"/>
    </row>
    <row r="92" spans="1:7" ht="15" customHeight="1" outlineLevel="2">
      <c r="A92" s="5"/>
      <c r="B92" s="27" t="s">
        <v>49</v>
      </c>
      <c r="C92" s="32"/>
      <c r="D92" s="44" t="s">
        <v>60</v>
      </c>
      <c r="E92" s="40">
        <v>577175</v>
      </c>
      <c r="F92" s="6"/>
      <c r="G92" s="26">
        <f>SUM(E61:E92)</f>
        <v>6256921</v>
      </c>
    </row>
    <row r="93" spans="1:7" ht="15" customHeight="1" outlineLevel="2">
      <c r="A93" s="5"/>
      <c r="B93" s="27"/>
      <c r="C93" s="27"/>
      <c r="D93" s="44"/>
      <c r="E93" s="40"/>
      <c r="F93" s="6"/>
      <c r="G93" s="26"/>
    </row>
    <row r="94" spans="1:7" ht="15" customHeight="1" outlineLevel="2">
      <c r="A94" s="5"/>
      <c r="B94" s="31" t="s">
        <v>19</v>
      </c>
      <c r="C94" s="27"/>
      <c r="D94" s="44"/>
      <c r="E94" s="28"/>
      <c r="F94" s="6"/>
      <c r="G94" s="26"/>
    </row>
    <row r="95" spans="1:7" ht="15" customHeight="1" outlineLevel="2">
      <c r="A95" s="5"/>
      <c r="B95" s="27" t="s">
        <v>24</v>
      </c>
      <c r="C95" s="44"/>
      <c r="D95" s="44" t="s">
        <v>134</v>
      </c>
      <c r="E95" s="28">
        <v>571758</v>
      </c>
      <c r="F95" s="6"/>
      <c r="G95" s="26"/>
    </row>
    <row r="96" spans="1:7" ht="15" customHeight="1" outlineLevel="2">
      <c r="A96" s="5"/>
      <c r="B96" s="27" t="s">
        <v>202</v>
      </c>
      <c r="C96" s="44"/>
      <c r="D96" s="44" t="s">
        <v>283</v>
      </c>
      <c r="E96" s="40">
        <f>264815+1396151</f>
        <v>1660966</v>
      </c>
      <c r="F96" s="6"/>
      <c r="G96" s="26">
        <f>SUM(E95:E96)</f>
        <v>2232724</v>
      </c>
    </row>
    <row r="97" spans="1:7" ht="15" customHeight="1" outlineLevel="2">
      <c r="A97" s="5"/>
      <c r="B97" s="27"/>
      <c r="C97" s="27"/>
      <c r="D97" s="44"/>
      <c r="E97" s="40"/>
      <c r="F97" s="6"/>
      <c r="G97" s="26"/>
    </row>
    <row r="98" spans="1:7" ht="15" customHeight="1" outlineLevel="2">
      <c r="A98" s="5"/>
      <c r="B98" s="31" t="s">
        <v>65</v>
      </c>
      <c r="C98" s="44"/>
      <c r="D98" s="44"/>
      <c r="E98" s="40"/>
      <c r="F98" s="6"/>
      <c r="G98" s="26"/>
    </row>
    <row r="99" spans="1:7" ht="15" customHeight="1" outlineLevel="2">
      <c r="A99" s="5"/>
      <c r="B99" s="27" t="s">
        <v>85</v>
      </c>
      <c r="C99" s="44"/>
      <c r="D99" s="44" t="s">
        <v>280</v>
      </c>
      <c r="E99" s="28">
        <v>900000</v>
      </c>
      <c r="F99" s="6"/>
      <c r="G99" s="26"/>
    </row>
    <row r="100" spans="1:7" ht="15" customHeight="1" outlineLevel="2">
      <c r="A100" s="95"/>
      <c r="B100" s="44" t="s">
        <v>125</v>
      </c>
      <c r="C100" s="44"/>
      <c r="D100" s="44" t="s">
        <v>281</v>
      </c>
      <c r="E100" s="28">
        <v>450000</v>
      </c>
      <c r="F100" s="94"/>
      <c r="G100" s="45"/>
    </row>
    <row r="101" spans="1:7" ht="15" customHeight="1" outlineLevel="2">
      <c r="A101" s="95"/>
      <c r="B101" s="44" t="s">
        <v>132</v>
      </c>
      <c r="C101" s="44"/>
      <c r="D101" s="44" t="s">
        <v>282</v>
      </c>
      <c r="E101" s="28">
        <v>656894</v>
      </c>
      <c r="F101" s="94"/>
      <c r="G101" s="45"/>
    </row>
    <row r="102" spans="1:7" ht="15" customHeight="1" outlineLevel="2">
      <c r="A102" s="95"/>
      <c r="B102" s="44" t="s">
        <v>124</v>
      </c>
      <c r="C102" s="44"/>
      <c r="D102" s="44" t="s">
        <v>255</v>
      </c>
      <c r="E102" s="28">
        <v>600000</v>
      </c>
      <c r="F102" s="94"/>
      <c r="G102" s="45"/>
    </row>
    <row r="103" spans="1:7" ht="15" customHeight="1" outlineLevel="2">
      <c r="A103" s="95"/>
      <c r="B103" s="44" t="s">
        <v>124</v>
      </c>
      <c r="C103" s="44"/>
      <c r="D103" s="44" t="s">
        <v>271</v>
      </c>
      <c r="E103" s="28">
        <v>120000</v>
      </c>
      <c r="F103" s="94"/>
      <c r="G103" s="45"/>
    </row>
    <row r="104" spans="1:7" ht="15" customHeight="1" outlineLevel="2">
      <c r="A104" s="95"/>
      <c r="B104" s="44" t="s">
        <v>123</v>
      </c>
      <c r="C104" s="44"/>
      <c r="D104" s="44" t="s">
        <v>138</v>
      </c>
      <c r="E104" s="40">
        <v>250000</v>
      </c>
      <c r="F104" s="94"/>
      <c r="G104" s="45">
        <f>SUM(E99:E104)</f>
        <v>2976894</v>
      </c>
    </row>
    <row r="105" spans="1:7" ht="15" customHeight="1" outlineLevel="2">
      <c r="A105" s="95"/>
      <c r="B105" s="44"/>
      <c r="C105" s="44"/>
      <c r="D105" s="44"/>
      <c r="E105" s="40"/>
      <c r="F105" s="94"/>
      <c r="G105" s="45"/>
    </row>
    <row r="106" spans="1:7" ht="15" customHeight="1" outlineLevel="2">
      <c r="A106" s="80"/>
      <c r="B106" s="43" t="s">
        <v>20</v>
      </c>
      <c r="C106" s="44"/>
      <c r="D106" s="44"/>
      <c r="E106" s="28"/>
      <c r="F106" s="94"/>
      <c r="G106" s="45"/>
    </row>
    <row r="107" spans="1:7" ht="15" customHeight="1" outlineLevel="2">
      <c r="A107" s="5"/>
      <c r="B107" s="31" t="s">
        <v>21</v>
      </c>
      <c r="C107" s="44"/>
      <c r="D107" s="44"/>
      <c r="E107" s="28"/>
      <c r="F107" s="6"/>
      <c r="G107" s="26"/>
    </row>
    <row r="108" spans="1:7" ht="15" customHeight="1" outlineLevel="2">
      <c r="A108" s="5"/>
      <c r="B108" s="27" t="s">
        <v>98</v>
      </c>
      <c r="C108" s="44"/>
      <c r="D108" s="44" t="s">
        <v>180</v>
      </c>
      <c r="E108" s="28">
        <f>15300</f>
        <v>15300</v>
      </c>
      <c r="F108" s="6"/>
      <c r="G108" s="26"/>
    </row>
    <row r="109" spans="1:7" ht="15" customHeight="1" outlineLevel="2">
      <c r="A109" s="5"/>
      <c r="B109" s="27" t="s">
        <v>66</v>
      </c>
      <c r="C109" s="44"/>
      <c r="D109" s="44" t="s">
        <v>167</v>
      </c>
      <c r="E109" s="28">
        <v>12830</v>
      </c>
      <c r="F109" s="6"/>
      <c r="G109" s="26"/>
    </row>
    <row r="110" spans="1:7" ht="15" customHeight="1" outlineLevel="2">
      <c r="A110" s="5"/>
      <c r="B110" s="27" t="s">
        <v>66</v>
      </c>
      <c r="C110" s="44"/>
      <c r="D110" s="44" t="s">
        <v>182</v>
      </c>
      <c r="E110" s="28">
        <v>16050</v>
      </c>
      <c r="F110" s="6"/>
      <c r="G110" s="26"/>
    </row>
    <row r="111" spans="1:7" ht="15" customHeight="1" outlineLevel="2" thickBot="1">
      <c r="A111" s="5"/>
      <c r="B111" s="76" t="s">
        <v>66</v>
      </c>
      <c r="C111" s="99"/>
      <c r="D111" s="99" t="s">
        <v>183</v>
      </c>
      <c r="E111" s="100">
        <v>6800</v>
      </c>
      <c r="F111" s="101"/>
      <c r="G111" s="78"/>
    </row>
    <row r="112" spans="1:7" ht="15" customHeight="1" outlineLevel="2">
      <c r="A112" s="5"/>
      <c r="B112" s="27" t="s">
        <v>66</v>
      </c>
      <c r="C112" s="44"/>
      <c r="D112" s="44" t="s">
        <v>211</v>
      </c>
      <c r="E112" s="28">
        <v>14600</v>
      </c>
      <c r="F112" s="6"/>
      <c r="G112" s="26"/>
    </row>
    <row r="113" spans="1:7" ht="15" customHeight="1" outlineLevel="2">
      <c r="A113" s="5"/>
      <c r="B113" s="27" t="s">
        <v>66</v>
      </c>
      <c r="C113" s="44"/>
      <c r="D113" s="44" t="s">
        <v>229</v>
      </c>
      <c r="E113" s="28">
        <v>14700</v>
      </c>
      <c r="F113" s="6"/>
      <c r="G113" s="26"/>
    </row>
    <row r="114" spans="1:7" ht="15" customHeight="1" outlineLevel="2">
      <c r="A114" s="5"/>
      <c r="B114" s="27" t="s">
        <v>66</v>
      </c>
      <c r="C114" s="44"/>
      <c r="D114" s="44" t="s">
        <v>230</v>
      </c>
      <c r="E114" s="28">
        <v>9640</v>
      </c>
      <c r="F114" s="6"/>
      <c r="G114" s="26"/>
    </row>
    <row r="115" spans="1:7" ht="15" customHeight="1" outlineLevel="2">
      <c r="A115" s="5"/>
      <c r="B115" s="27" t="s">
        <v>66</v>
      </c>
      <c r="C115" s="44"/>
      <c r="D115" s="44" t="s">
        <v>278</v>
      </c>
      <c r="E115" s="28">
        <v>15720</v>
      </c>
      <c r="F115" s="6"/>
      <c r="G115" s="26"/>
    </row>
    <row r="116" spans="1:7" ht="15" customHeight="1" outlineLevel="2">
      <c r="A116" s="5"/>
      <c r="B116" s="27" t="s">
        <v>126</v>
      </c>
      <c r="C116" s="44"/>
      <c r="D116" s="44" t="s">
        <v>273</v>
      </c>
      <c r="E116" s="28">
        <v>161280</v>
      </c>
      <c r="F116" s="6"/>
      <c r="G116" s="26"/>
    </row>
    <row r="117" spans="1:7" ht="15" customHeight="1" outlineLevel="2">
      <c r="A117" s="5"/>
      <c r="B117" s="27" t="s">
        <v>128</v>
      </c>
      <c r="C117" s="44"/>
      <c r="D117" s="44" t="s">
        <v>186</v>
      </c>
      <c r="E117" s="28">
        <v>14000</v>
      </c>
      <c r="F117" s="6"/>
      <c r="G117" s="26"/>
    </row>
    <row r="118" spans="1:7" ht="15" customHeight="1" outlineLevel="2">
      <c r="A118" s="5"/>
      <c r="B118" s="27" t="s">
        <v>94</v>
      </c>
      <c r="C118" s="44"/>
      <c r="D118" s="44" t="s">
        <v>263</v>
      </c>
      <c r="E118" s="28">
        <v>18400</v>
      </c>
      <c r="F118" s="6"/>
      <c r="G118" s="26"/>
    </row>
    <row r="119" spans="1:7" ht="15" customHeight="1" outlineLevel="2">
      <c r="A119" s="5"/>
      <c r="B119" s="27" t="s">
        <v>94</v>
      </c>
      <c r="C119" s="44"/>
      <c r="D119" s="44" t="s">
        <v>262</v>
      </c>
      <c r="E119" s="28">
        <v>18400</v>
      </c>
      <c r="F119" s="6"/>
      <c r="G119" s="26"/>
    </row>
    <row r="120" spans="1:7" ht="15" customHeight="1" outlineLevel="2">
      <c r="A120" s="5"/>
      <c r="B120" s="27" t="s">
        <v>95</v>
      </c>
      <c r="C120" s="44"/>
      <c r="D120" s="44" t="s">
        <v>245</v>
      </c>
      <c r="E120" s="28">
        <v>101487</v>
      </c>
      <c r="F120" s="6"/>
      <c r="G120" s="26"/>
    </row>
    <row r="121" spans="1:7" ht="15" customHeight="1" outlineLevel="2">
      <c r="A121" s="5"/>
      <c r="B121" s="27" t="s">
        <v>104</v>
      </c>
      <c r="C121" s="44"/>
      <c r="D121" s="44" t="s">
        <v>203</v>
      </c>
      <c r="E121" s="28">
        <f>74684+30000+18000</f>
        <v>122684</v>
      </c>
      <c r="F121" s="6"/>
      <c r="G121" s="26"/>
    </row>
    <row r="122" spans="1:7" ht="15" customHeight="1" outlineLevel="2">
      <c r="A122" s="5"/>
      <c r="B122" s="27" t="s">
        <v>104</v>
      </c>
      <c r="C122" s="44"/>
      <c r="D122" s="44" t="s">
        <v>207</v>
      </c>
      <c r="E122" s="28">
        <v>48104</v>
      </c>
      <c r="F122" s="6"/>
      <c r="G122" s="26"/>
    </row>
    <row r="123" spans="1:7" ht="15" customHeight="1" outlineLevel="2">
      <c r="A123" s="5"/>
      <c r="B123" s="27" t="s">
        <v>104</v>
      </c>
      <c r="C123" s="44"/>
      <c r="D123" s="44" t="s">
        <v>266</v>
      </c>
      <c r="E123" s="28">
        <v>2000</v>
      </c>
      <c r="F123" s="6"/>
      <c r="G123" s="26"/>
    </row>
    <row r="124" spans="1:7" ht="15" customHeight="1" outlineLevel="2">
      <c r="A124" s="5"/>
      <c r="B124" s="27" t="s">
        <v>104</v>
      </c>
      <c r="C124" s="44"/>
      <c r="D124" s="44" t="s">
        <v>275</v>
      </c>
      <c r="E124" s="28">
        <v>99184</v>
      </c>
      <c r="F124" s="6"/>
      <c r="G124" s="26"/>
    </row>
    <row r="125" spans="1:7" ht="15" customHeight="1" outlineLevel="2">
      <c r="A125" s="5"/>
      <c r="B125" s="32" t="s">
        <v>22</v>
      </c>
      <c r="C125" s="44"/>
      <c r="D125" s="44"/>
      <c r="E125" s="28"/>
      <c r="F125" s="6"/>
      <c r="G125" s="26"/>
    </row>
    <row r="126" spans="1:7" ht="15" customHeight="1" outlineLevel="2">
      <c r="A126" s="5"/>
      <c r="B126" s="27" t="s">
        <v>66</v>
      </c>
      <c r="C126" s="44"/>
      <c r="D126" s="44" t="s">
        <v>189</v>
      </c>
      <c r="E126" s="28">
        <v>9800</v>
      </c>
      <c r="F126" s="6"/>
      <c r="G126" s="26"/>
    </row>
    <row r="127" spans="1:7" ht="15" customHeight="1" outlineLevel="2">
      <c r="A127" s="5"/>
      <c r="B127" s="27" t="s">
        <v>66</v>
      </c>
      <c r="C127" s="44"/>
      <c r="D127" s="44" t="s">
        <v>238</v>
      </c>
      <c r="E127" s="28">
        <v>14600</v>
      </c>
      <c r="F127" s="6"/>
      <c r="G127" s="26"/>
    </row>
    <row r="128" spans="1:7" ht="15" customHeight="1" outlineLevel="2">
      <c r="A128" s="5"/>
      <c r="B128" s="27" t="s">
        <v>66</v>
      </c>
      <c r="C128" s="44"/>
      <c r="D128" s="44" t="s">
        <v>253</v>
      </c>
      <c r="E128" s="28">
        <v>51300</v>
      </c>
      <c r="F128" s="6"/>
      <c r="G128" s="26"/>
    </row>
    <row r="129" spans="1:7" ht="15" customHeight="1" outlineLevel="2">
      <c r="A129" s="5"/>
      <c r="B129" s="27" t="s">
        <v>98</v>
      </c>
      <c r="C129" s="44"/>
      <c r="D129" s="44" t="s">
        <v>181</v>
      </c>
      <c r="E129" s="28">
        <f>38910</f>
        <v>38910</v>
      </c>
      <c r="F129" s="6"/>
      <c r="G129" s="26"/>
    </row>
    <row r="130" spans="1:7" ht="15" customHeight="1" outlineLevel="2">
      <c r="A130" s="5"/>
      <c r="B130" s="27" t="s">
        <v>126</v>
      </c>
      <c r="C130" s="44"/>
      <c r="D130" s="44" t="s">
        <v>274</v>
      </c>
      <c r="E130" s="28">
        <v>122200</v>
      </c>
      <c r="F130" s="6"/>
      <c r="G130" s="26"/>
    </row>
    <row r="131" spans="1:7" ht="15" customHeight="1" outlineLevel="2">
      <c r="A131" s="5"/>
      <c r="B131" s="27" t="s">
        <v>94</v>
      </c>
      <c r="C131" s="44"/>
      <c r="D131" s="44" t="s">
        <v>264</v>
      </c>
      <c r="E131" s="28">
        <v>9800</v>
      </c>
      <c r="F131" s="6"/>
      <c r="G131" s="26"/>
    </row>
    <row r="132" spans="1:7" ht="15" customHeight="1" outlineLevel="2">
      <c r="A132" s="5"/>
      <c r="B132" s="27" t="s">
        <v>94</v>
      </c>
      <c r="C132" s="44"/>
      <c r="D132" s="44" t="s">
        <v>265</v>
      </c>
      <c r="E132" s="28">
        <v>9800</v>
      </c>
      <c r="F132" s="6"/>
      <c r="G132" s="26"/>
    </row>
    <row r="133" spans="1:7" ht="15" customHeight="1" outlineLevel="2">
      <c r="A133" s="5"/>
      <c r="B133" s="27" t="s">
        <v>104</v>
      </c>
      <c r="C133" s="44"/>
      <c r="D133" s="44" t="s">
        <v>204</v>
      </c>
      <c r="E133" s="28">
        <v>19600</v>
      </c>
      <c r="F133" s="6"/>
      <c r="G133" s="26"/>
    </row>
    <row r="134" spans="1:7" ht="15" customHeight="1" outlineLevel="2">
      <c r="A134" s="5"/>
      <c r="B134" s="27" t="s">
        <v>104</v>
      </c>
      <c r="C134" s="44"/>
      <c r="D134" s="44" t="s">
        <v>208</v>
      </c>
      <c r="E134" s="28">
        <v>19600</v>
      </c>
      <c r="F134" s="6"/>
      <c r="G134" s="26"/>
    </row>
    <row r="135" spans="1:7" ht="15" customHeight="1" outlineLevel="2">
      <c r="A135" s="5"/>
      <c r="B135" s="27" t="s">
        <v>104</v>
      </c>
      <c r="C135" s="44"/>
      <c r="D135" s="44" t="s">
        <v>267</v>
      </c>
      <c r="E135" s="28">
        <v>17600</v>
      </c>
      <c r="F135" s="6"/>
      <c r="G135" s="26"/>
    </row>
    <row r="136" spans="1:7" ht="15" customHeight="1" outlineLevel="2">
      <c r="A136" s="5"/>
      <c r="B136" s="27" t="s">
        <v>104</v>
      </c>
      <c r="C136" s="44"/>
      <c r="D136" s="44" t="s">
        <v>276</v>
      </c>
      <c r="E136" s="28">
        <v>27400</v>
      </c>
      <c r="F136" s="6"/>
      <c r="G136" s="26"/>
    </row>
    <row r="137" spans="1:7" ht="15" customHeight="1" outlineLevel="2">
      <c r="A137" s="5"/>
      <c r="B137" s="27" t="s">
        <v>128</v>
      </c>
      <c r="C137" s="44"/>
      <c r="D137" s="44" t="s">
        <v>185</v>
      </c>
      <c r="E137" s="28">
        <v>53800</v>
      </c>
      <c r="F137" s="6"/>
      <c r="G137" s="26"/>
    </row>
    <row r="138" spans="1:7" ht="15" customHeight="1" outlineLevel="2">
      <c r="A138" s="5"/>
      <c r="B138" s="27" t="s">
        <v>72</v>
      </c>
      <c r="C138" s="44"/>
      <c r="D138" s="44" t="s">
        <v>184</v>
      </c>
      <c r="E138" s="28">
        <v>111684</v>
      </c>
      <c r="F138" s="6"/>
      <c r="G138" s="26"/>
    </row>
    <row r="139" spans="1:7" ht="15" customHeight="1" outlineLevel="2">
      <c r="A139" s="5"/>
      <c r="B139" s="27" t="s">
        <v>72</v>
      </c>
      <c r="C139" s="44"/>
      <c r="D139" s="44" t="s">
        <v>90</v>
      </c>
      <c r="E139" s="28">
        <v>104739</v>
      </c>
      <c r="F139" s="6"/>
      <c r="G139" s="26"/>
    </row>
    <row r="140" spans="1:7" ht="15" customHeight="1" outlineLevel="2">
      <c r="A140" s="5"/>
      <c r="B140" s="27" t="s">
        <v>72</v>
      </c>
      <c r="C140" s="44"/>
      <c r="D140" s="44" t="s">
        <v>179</v>
      </c>
      <c r="E140" s="28">
        <f>184949+169684</f>
        <v>354633</v>
      </c>
      <c r="F140" s="6"/>
      <c r="G140" s="26"/>
    </row>
    <row r="141" spans="1:7" ht="15" customHeight="1" outlineLevel="2">
      <c r="A141" s="5"/>
      <c r="B141" s="27" t="s">
        <v>72</v>
      </c>
      <c r="C141" s="44"/>
      <c r="D141" s="44" t="s">
        <v>219</v>
      </c>
      <c r="E141" s="28">
        <v>98738</v>
      </c>
      <c r="F141" s="6"/>
      <c r="G141" s="26"/>
    </row>
    <row r="142" spans="1:7" ht="15" customHeight="1" outlineLevel="2">
      <c r="A142" s="5"/>
      <c r="B142" s="27" t="s">
        <v>72</v>
      </c>
      <c r="C142" s="44"/>
      <c r="D142" s="44" t="s">
        <v>222</v>
      </c>
      <c r="E142" s="28">
        <v>137258</v>
      </c>
      <c r="F142" s="6"/>
      <c r="G142" s="26"/>
    </row>
    <row r="143" spans="1:7" ht="15" customHeight="1" outlineLevel="2">
      <c r="A143" s="5"/>
      <c r="B143" s="27" t="s">
        <v>72</v>
      </c>
      <c r="C143" s="44"/>
      <c r="D143" s="44" t="s">
        <v>237</v>
      </c>
      <c r="E143" s="28">
        <v>76500</v>
      </c>
      <c r="F143" s="6"/>
      <c r="G143" s="26"/>
    </row>
    <row r="144" spans="1:7" ht="15" customHeight="1" outlineLevel="2" thickBot="1">
      <c r="A144" s="5"/>
      <c r="B144" s="76" t="s">
        <v>72</v>
      </c>
      <c r="C144" s="99"/>
      <c r="D144" s="99" t="s">
        <v>268</v>
      </c>
      <c r="E144" s="100">
        <v>202308</v>
      </c>
      <c r="F144" s="101"/>
      <c r="G144" s="78"/>
    </row>
    <row r="145" spans="1:7" ht="15" customHeight="1" outlineLevel="2">
      <c r="A145" s="5"/>
      <c r="B145" s="27" t="s">
        <v>131</v>
      </c>
      <c r="C145" s="44"/>
      <c r="D145" s="44" t="s">
        <v>195</v>
      </c>
      <c r="E145" s="28">
        <v>47118</v>
      </c>
      <c r="F145" s="6"/>
      <c r="G145" s="26"/>
    </row>
    <row r="146" spans="1:7" ht="15" customHeight="1" outlineLevel="2">
      <c r="A146" s="5"/>
      <c r="B146" s="27" t="s">
        <v>131</v>
      </c>
      <c r="C146" s="44"/>
      <c r="D146" s="44" t="s">
        <v>201</v>
      </c>
      <c r="E146" s="28">
        <v>33368</v>
      </c>
      <c r="F146" s="6"/>
      <c r="G146" s="26"/>
    </row>
    <row r="147" spans="1:7" ht="15" customHeight="1" outlineLevel="2">
      <c r="A147" s="5"/>
      <c r="B147" s="27" t="s">
        <v>55</v>
      </c>
      <c r="C147" s="44"/>
      <c r="D147" s="44" t="s">
        <v>177</v>
      </c>
      <c r="E147" s="28">
        <v>276080</v>
      </c>
      <c r="F147" s="6"/>
      <c r="G147" s="26"/>
    </row>
    <row r="148" spans="1:7" ht="15" customHeight="1" outlineLevel="2">
      <c r="A148" s="5"/>
      <c r="B148" s="27" t="s">
        <v>55</v>
      </c>
      <c r="C148" s="44"/>
      <c r="D148" s="44" t="s">
        <v>178</v>
      </c>
      <c r="E148" s="28">
        <v>276080</v>
      </c>
      <c r="F148" s="6"/>
      <c r="G148" s="26"/>
    </row>
    <row r="149" spans="1:7" ht="15" customHeight="1" outlineLevel="2">
      <c r="A149" s="5"/>
      <c r="B149" s="27" t="s">
        <v>55</v>
      </c>
      <c r="C149" s="44"/>
      <c r="D149" s="44" t="s">
        <v>173</v>
      </c>
      <c r="E149" s="28">
        <v>95795</v>
      </c>
      <c r="F149" s="6"/>
      <c r="G149" s="26"/>
    </row>
    <row r="150" spans="1:7" ht="15" customHeight="1" outlineLevel="2">
      <c r="A150" s="5"/>
      <c r="B150" s="27" t="s">
        <v>55</v>
      </c>
      <c r="C150" s="44"/>
      <c r="D150" s="44" t="s">
        <v>261</v>
      </c>
      <c r="E150" s="28">
        <v>379610</v>
      </c>
      <c r="F150" s="6"/>
      <c r="G150" s="26"/>
    </row>
    <row r="151" spans="1:7" ht="15" customHeight="1" outlineLevel="2">
      <c r="A151" s="5"/>
      <c r="B151" s="27" t="s">
        <v>55</v>
      </c>
      <c r="C151" s="44"/>
      <c r="D151" s="44" t="s">
        <v>272</v>
      </c>
      <c r="E151" s="28">
        <v>33320</v>
      </c>
      <c r="F151" s="6"/>
      <c r="G151" s="26"/>
    </row>
    <row r="152" spans="1:7" ht="15" customHeight="1" outlineLevel="2">
      <c r="A152" s="5"/>
      <c r="B152" s="27" t="s">
        <v>55</v>
      </c>
      <c r="C152" s="44"/>
      <c r="D152" s="44" t="s">
        <v>129</v>
      </c>
      <c r="E152" s="40">
        <v>49980</v>
      </c>
      <c r="F152" s="6"/>
      <c r="G152" s="26">
        <f>SUM(E108:E152)</f>
        <v>3362800</v>
      </c>
    </row>
    <row r="153" spans="1:7" ht="15" customHeight="1" outlineLevel="2">
      <c r="A153" s="5"/>
      <c r="B153" s="27"/>
      <c r="C153" s="5"/>
      <c r="D153" s="44"/>
      <c r="E153" s="81"/>
      <c r="F153" s="79"/>
      <c r="G153" s="97"/>
    </row>
    <row r="154" spans="1:7" ht="15" customHeight="1" outlineLevel="2">
      <c r="A154" s="5"/>
      <c r="B154" s="32" t="s">
        <v>103</v>
      </c>
      <c r="C154" s="5"/>
      <c r="D154" s="44"/>
      <c r="E154" s="83"/>
      <c r="F154" s="79"/>
      <c r="G154" s="97" t="s">
        <v>7</v>
      </c>
    </row>
    <row r="155" spans="1:7" ht="15" customHeight="1" outlineLevel="2">
      <c r="A155" s="5"/>
      <c r="B155" s="27" t="s">
        <v>152</v>
      </c>
      <c r="C155" s="5"/>
      <c r="D155" s="44" t="s">
        <v>153</v>
      </c>
      <c r="E155" s="83">
        <f>5000000+5000000+741320+5000000</f>
        <v>15741320</v>
      </c>
      <c r="F155" s="79"/>
      <c r="G155" s="97"/>
    </row>
    <row r="156" spans="1:7" ht="15" customHeight="1" outlineLevel="2">
      <c r="A156" s="5"/>
      <c r="B156" s="27" t="s">
        <v>152</v>
      </c>
      <c r="C156" s="5"/>
      <c r="D156" s="44" t="s">
        <v>154</v>
      </c>
      <c r="E156" s="81">
        <f>1975400</f>
        <v>1975400</v>
      </c>
      <c r="F156" s="79"/>
      <c r="G156" s="97">
        <f>SUM(E155:E156)</f>
        <v>17716720</v>
      </c>
    </row>
    <row r="157" spans="1:7" ht="15" customHeight="1" outlineLevel="2">
      <c r="A157" s="5"/>
      <c r="B157" s="27"/>
      <c r="C157" s="5"/>
      <c r="D157" s="44"/>
      <c r="E157" s="81"/>
      <c r="F157" s="79"/>
      <c r="G157" s="97"/>
    </row>
    <row r="158" spans="1:7" ht="15" customHeight="1" outlineLevel="2">
      <c r="A158" s="5"/>
      <c r="B158" s="32" t="s">
        <v>174</v>
      </c>
      <c r="C158" s="5"/>
      <c r="D158" s="44"/>
      <c r="E158" s="81"/>
      <c r="F158" s="79"/>
      <c r="G158" s="97"/>
    </row>
    <row r="159" spans="1:7" ht="15" customHeight="1" outlineLevel="2">
      <c r="A159" s="5"/>
      <c r="B159" s="27" t="s">
        <v>176</v>
      </c>
      <c r="C159" s="5"/>
      <c r="D159" s="27" t="s">
        <v>175</v>
      </c>
      <c r="E159" s="83">
        <v>89205</v>
      </c>
      <c r="F159" s="79"/>
      <c r="G159" s="97"/>
    </row>
    <row r="160" spans="1:7" ht="15" customHeight="1" outlineLevel="2">
      <c r="A160" s="5"/>
      <c r="B160" s="27" t="s">
        <v>209</v>
      </c>
      <c r="C160" s="5"/>
      <c r="D160" s="44" t="s">
        <v>210</v>
      </c>
      <c r="E160" s="83">
        <f>409658+409658</f>
        <v>819316</v>
      </c>
      <c r="F160" s="79"/>
      <c r="G160" s="97"/>
    </row>
    <row r="161" spans="1:7" ht="15" customHeight="1" outlineLevel="2">
      <c r="A161" s="5"/>
      <c r="B161" s="27" t="s">
        <v>79</v>
      </c>
      <c r="C161" s="5"/>
      <c r="D161" s="44" t="s">
        <v>213</v>
      </c>
      <c r="E161" s="83">
        <f>874190+557723</f>
        <v>1431913</v>
      </c>
      <c r="F161" s="79"/>
      <c r="G161" s="97"/>
    </row>
    <row r="162" spans="1:7" ht="15" customHeight="1" outlineLevel="2">
      <c r="A162" s="5"/>
      <c r="B162" s="27" t="s">
        <v>70</v>
      </c>
      <c r="C162" s="5"/>
      <c r="D162" s="44" t="s">
        <v>223</v>
      </c>
      <c r="E162" s="83">
        <v>12300</v>
      </c>
      <c r="F162" s="79"/>
      <c r="G162" s="97"/>
    </row>
    <row r="163" spans="1:7" ht="15" customHeight="1" outlineLevel="2">
      <c r="A163" s="5"/>
      <c r="B163" s="27" t="s">
        <v>227</v>
      </c>
      <c r="C163" s="5"/>
      <c r="D163" s="44" t="s">
        <v>228</v>
      </c>
      <c r="E163" s="83">
        <v>191520</v>
      </c>
      <c r="F163" s="79"/>
      <c r="G163" s="97"/>
    </row>
    <row r="164" spans="1:7" ht="15" customHeight="1" outlineLevel="2">
      <c r="A164" s="5"/>
      <c r="B164" s="27" t="s">
        <v>231</v>
      </c>
      <c r="C164" s="5"/>
      <c r="D164" s="44" t="s">
        <v>232</v>
      </c>
      <c r="E164" s="83">
        <v>189210</v>
      </c>
      <c r="F164" s="79"/>
      <c r="G164" s="97"/>
    </row>
    <row r="165" spans="1:7" ht="15" customHeight="1" outlineLevel="2">
      <c r="A165" s="5"/>
      <c r="B165" s="27" t="s">
        <v>235</v>
      </c>
      <c r="C165" s="5"/>
      <c r="D165" s="44" t="s">
        <v>236</v>
      </c>
      <c r="E165" s="83">
        <v>253927</v>
      </c>
      <c r="F165" s="79"/>
      <c r="G165" s="97"/>
    </row>
    <row r="166" spans="1:7" ht="15" customHeight="1" outlineLevel="2">
      <c r="A166" s="5"/>
      <c r="B166" s="27" t="s">
        <v>242</v>
      </c>
      <c r="C166" s="5"/>
      <c r="D166" s="44" t="s">
        <v>249</v>
      </c>
      <c r="E166" s="83">
        <v>400554</v>
      </c>
      <c r="F166" s="79"/>
      <c r="G166" s="97"/>
    </row>
    <row r="167" spans="1:7" ht="15" customHeight="1" outlineLevel="2">
      <c r="A167" s="5"/>
      <c r="B167" s="27" t="s">
        <v>244</v>
      </c>
      <c r="C167" s="5"/>
      <c r="D167" s="44" t="s">
        <v>236</v>
      </c>
      <c r="E167" s="83">
        <v>1000000</v>
      </c>
      <c r="F167" s="79"/>
      <c r="G167" s="97"/>
    </row>
    <row r="168" spans="1:7" ht="15" customHeight="1" outlineLevel="2">
      <c r="A168" s="5"/>
      <c r="B168" s="27" t="s">
        <v>247</v>
      </c>
      <c r="C168" s="5"/>
      <c r="D168" s="44" t="s">
        <v>249</v>
      </c>
      <c r="E168" s="83">
        <v>152677</v>
      </c>
      <c r="F168" s="79"/>
      <c r="G168" s="97"/>
    </row>
    <row r="169" spans="1:7" ht="15" customHeight="1" outlineLevel="2">
      <c r="A169" s="5"/>
      <c r="B169" s="27" t="s">
        <v>66</v>
      </c>
      <c r="C169" s="5"/>
      <c r="D169" s="44" t="s">
        <v>248</v>
      </c>
      <c r="E169" s="81">
        <v>17820</v>
      </c>
      <c r="F169" s="79"/>
      <c r="G169" s="97">
        <f>SUM(E159:E169)</f>
        <v>4558442</v>
      </c>
    </row>
    <row r="170" spans="1:7" ht="15" customHeight="1" outlineLevel="2">
      <c r="A170" s="5"/>
      <c r="B170" s="27"/>
      <c r="C170" s="5"/>
      <c r="D170" s="44"/>
      <c r="E170" s="81"/>
      <c r="F170" s="79"/>
      <c r="G170" s="97"/>
    </row>
    <row r="171" spans="1:7" ht="15" customHeight="1" outlineLevel="2">
      <c r="A171" s="5"/>
      <c r="B171" s="32" t="s">
        <v>156</v>
      </c>
      <c r="C171" s="5"/>
      <c r="D171" s="44"/>
      <c r="E171" s="81"/>
      <c r="F171" s="79"/>
      <c r="G171" s="97"/>
    </row>
    <row r="172" spans="1:7" ht="15" customHeight="1" outlineLevel="2">
      <c r="A172" s="5"/>
      <c r="B172" s="27" t="s">
        <v>157</v>
      </c>
      <c r="C172" s="5"/>
      <c r="D172" s="44" t="s">
        <v>136</v>
      </c>
      <c r="E172" s="83">
        <f>250000+289500</f>
        <v>539500</v>
      </c>
      <c r="F172" s="79"/>
      <c r="G172" s="97"/>
    </row>
    <row r="173" spans="1:7" ht="15" customHeight="1" outlineLevel="2">
      <c r="A173" s="5"/>
      <c r="B173" s="27" t="s">
        <v>165</v>
      </c>
      <c r="C173" s="5"/>
      <c r="D173" s="44" t="s">
        <v>166</v>
      </c>
      <c r="E173" s="83">
        <v>754514</v>
      </c>
      <c r="F173" s="79"/>
      <c r="G173" s="97"/>
    </row>
    <row r="174" spans="1:7" ht="15" customHeight="1" outlineLevel="2">
      <c r="A174" s="5"/>
      <c r="B174" s="27" t="s">
        <v>187</v>
      </c>
      <c r="C174" s="5"/>
      <c r="D174" s="44" t="s">
        <v>188</v>
      </c>
      <c r="E174" s="81">
        <f>476690+181142</f>
        <v>657832</v>
      </c>
      <c r="F174" s="79"/>
      <c r="G174" s="97">
        <f>SUM(E172:E174)</f>
        <v>1951846</v>
      </c>
    </row>
    <row r="175" spans="1:7" ht="15" customHeight="1" outlineLevel="2">
      <c r="A175" s="5"/>
      <c r="B175" s="27"/>
      <c r="C175" s="5"/>
      <c r="D175" s="44"/>
      <c r="E175" s="83"/>
      <c r="F175" s="79"/>
      <c r="G175" s="97"/>
    </row>
    <row r="176" spans="1:7" ht="15" customHeight="1" outlineLevel="2" thickBot="1">
      <c r="A176" s="5"/>
      <c r="B176" s="76"/>
      <c r="C176" s="88"/>
      <c r="D176" s="99"/>
      <c r="E176" s="102"/>
      <c r="F176" s="103"/>
      <c r="G176" s="104"/>
    </row>
    <row r="177" spans="5:7" s="5" customFormat="1" ht="15" customHeight="1" outlineLevel="2">
      <c r="E177" s="8"/>
      <c r="F177" s="6"/>
      <c r="G177" s="6"/>
    </row>
    <row r="178" spans="1:7" ht="15" customHeight="1" outlineLevel="2">
      <c r="A178" s="5"/>
      <c r="B178" s="32" t="s">
        <v>93</v>
      </c>
      <c r="C178" s="5"/>
      <c r="D178" s="44"/>
      <c r="E178" s="83"/>
      <c r="F178" s="79"/>
      <c r="G178" s="97"/>
    </row>
    <row r="179" spans="1:7" ht="15" customHeight="1" outlineLevel="2">
      <c r="A179" s="5"/>
      <c r="B179" s="27" t="s">
        <v>215</v>
      </c>
      <c r="C179" s="5"/>
      <c r="D179" s="44" t="s">
        <v>216</v>
      </c>
      <c r="E179" s="83">
        <v>148155</v>
      </c>
      <c r="F179" s="6"/>
      <c r="G179" s="97"/>
    </row>
    <row r="180" spans="1:7" ht="15" customHeight="1" outlineLevel="2">
      <c r="A180" s="5"/>
      <c r="B180" s="27" t="s">
        <v>36</v>
      </c>
      <c r="C180" s="5"/>
      <c r="D180" s="44" t="s">
        <v>246</v>
      </c>
      <c r="E180" s="81">
        <v>80000</v>
      </c>
      <c r="F180" s="6"/>
      <c r="G180" s="97">
        <f>SUM(E179:E180)</f>
        <v>228155</v>
      </c>
    </row>
    <row r="181" spans="1:7" ht="15" customHeight="1" outlineLevel="2">
      <c r="A181" s="5"/>
      <c r="B181" s="27"/>
      <c r="C181" s="5"/>
      <c r="D181" s="44"/>
      <c r="E181" s="83"/>
      <c r="F181" s="6"/>
      <c r="G181" s="97"/>
    </row>
    <row r="182" spans="1:7" ht="15" customHeight="1" outlineLevel="2">
      <c r="A182" s="5"/>
      <c r="B182" s="32" t="s">
        <v>97</v>
      </c>
      <c r="C182" s="5"/>
      <c r="D182" s="27"/>
      <c r="E182" s="28"/>
      <c r="F182" s="6"/>
      <c r="G182" s="97"/>
    </row>
    <row r="183" spans="1:7" ht="15" customHeight="1" outlineLevel="2">
      <c r="A183" s="5"/>
      <c r="B183" s="27" t="s">
        <v>113</v>
      </c>
      <c r="C183" s="5"/>
      <c r="D183" s="44" t="s">
        <v>114</v>
      </c>
      <c r="E183" s="83">
        <v>23700</v>
      </c>
      <c r="F183" s="6"/>
      <c r="G183" s="97"/>
    </row>
    <row r="184" spans="1:7" ht="15" customHeight="1" outlineLevel="2">
      <c r="A184" s="5"/>
      <c r="B184" s="27" t="s">
        <v>86</v>
      </c>
      <c r="C184" s="5"/>
      <c r="D184" s="44" t="s">
        <v>130</v>
      </c>
      <c r="E184" s="83">
        <f>18972+22175</f>
        <v>41147</v>
      </c>
      <c r="F184" s="6"/>
      <c r="G184" s="97"/>
    </row>
    <row r="185" spans="1:7" ht="15" customHeight="1" outlineLevel="2">
      <c r="A185" s="5"/>
      <c r="B185" s="27" t="s">
        <v>239</v>
      </c>
      <c r="C185" s="5"/>
      <c r="D185" s="44" t="s">
        <v>240</v>
      </c>
      <c r="E185" s="81">
        <v>120682</v>
      </c>
      <c r="F185" s="6"/>
      <c r="G185" s="97">
        <f>SUM(E183:E185)</f>
        <v>185529</v>
      </c>
    </row>
    <row r="186" spans="1:7" ht="15" customHeight="1" outlineLevel="2">
      <c r="A186" s="5"/>
      <c r="B186" s="27"/>
      <c r="C186" s="5"/>
      <c r="D186" s="44"/>
      <c r="E186" s="83"/>
      <c r="F186" s="6"/>
      <c r="G186" s="97"/>
    </row>
    <row r="187" spans="1:7" ht="15" customHeight="1" outlineLevel="2">
      <c r="A187" s="5"/>
      <c r="B187" s="32" t="s">
        <v>57</v>
      </c>
      <c r="C187" s="5"/>
      <c r="D187" s="82"/>
      <c r="E187" s="81"/>
      <c r="F187" s="6"/>
      <c r="G187" s="97"/>
    </row>
    <row r="188" spans="1:7" ht="15" customHeight="1" outlineLevel="2">
      <c r="A188" s="5"/>
      <c r="B188" s="27" t="s">
        <v>56</v>
      </c>
      <c r="C188" s="5"/>
      <c r="D188" s="44" t="s">
        <v>170</v>
      </c>
      <c r="E188" s="83">
        <v>50000</v>
      </c>
      <c r="F188" s="6"/>
      <c r="G188" s="97"/>
    </row>
    <row r="189" spans="2:7" s="5" customFormat="1" ht="15" customHeight="1" outlineLevel="2">
      <c r="B189" s="27" t="s">
        <v>70</v>
      </c>
      <c r="D189" s="44" t="s">
        <v>225</v>
      </c>
      <c r="E189" s="28">
        <v>50000</v>
      </c>
      <c r="F189" s="8"/>
      <c r="G189" s="98"/>
    </row>
    <row r="190" spans="2:7" s="5" customFormat="1" ht="15" customHeight="1" outlineLevel="2">
      <c r="B190" s="27" t="s">
        <v>109</v>
      </c>
      <c r="D190" s="44" t="s">
        <v>256</v>
      </c>
      <c r="E190" s="28">
        <v>600000</v>
      </c>
      <c r="F190" s="8"/>
      <c r="G190" s="98"/>
    </row>
    <row r="191" spans="1:7" ht="15" customHeight="1" outlineLevel="2">
      <c r="A191" s="5"/>
      <c r="B191" s="27" t="s">
        <v>81</v>
      </c>
      <c r="C191" s="5"/>
      <c r="D191" s="44" t="s">
        <v>256</v>
      </c>
      <c r="E191" s="83">
        <v>600000</v>
      </c>
      <c r="F191" s="6"/>
      <c r="G191" s="97"/>
    </row>
    <row r="192" spans="1:7" ht="15" customHeight="1" outlineLevel="2">
      <c r="A192" s="5"/>
      <c r="B192" s="27" t="s">
        <v>94</v>
      </c>
      <c r="C192" s="5"/>
      <c r="D192" s="44" t="s">
        <v>260</v>
      </c>
      <c r="E192" s="83">
        <v>200000</v>
      </c>
      <c r="F192" s="6"/>
      <c r="G192" s="97"/>
    </row>
    <row r="193" spans="1:7" ht="15" customHeight="1" outlineLevel="2">
      <c r="A193" s="5"/>
      <c r="B193" s="27" t="s">
        <v>135</v>
      </c>
      <c r="C193" s="5"/>
      <c r="D193" s="44" t="s">
        <v>260</v>
      </c>
      <c r="E193" s="81">
        <v>60000</v>
      </c>
      <c r="F193" s="6"/>
      <c r="G193" s="97">
        <f>SUM(E188:E193)</f>
        <v>1560000</v>
      </c>
    </row>
    <row r="194" spans="1:7" ht="15" customHeight="1" outlineLevel="2">
      <c r="A194" s="5"/>
      <c r="B194" s="27"/>
      <c r="C194" s="5"/>
      <c r="D194" s="44"/>
      <c r="E194" s="83"/>
      <c r="F194" s="6"/>
      <c r="G194" s="97"/>
    </row>
    <row r="195" spans="1:7" ht="15.75" customHeight="1" outlineLevel="2">
      <c r="A195" s="5"/>
      <c r="B195" s="31" t="s">
        <v>6</v>
      </c>
      <c r="C195" s="5"/>
      <c r="D195" s="21"/>
      <c r="E195" s="40"/>
      <c r="F195" s="6"/>
      <c r="G195" s="97"/>
    </row>
    <row r="196" spans="2:7" s="5" customFormat="1" ht="15" customHeight="1" outlineLevel="2">
      <c r="B196" s="27" t="s">
        <v>101</v>
      </c>
      <c r="D196" s="21" t="s">
        <v>102</v>
      </c>
      <c r="E196" s="28">
        <v>116199</v>
      </c>
      <c r="F196" s="8"/>
      <c r="G196" s="98"/>
    </row>
    <row r="197" spans="2:7" s="5" customFormat="1" ht="15" customHeight="1" outlineLevel="2">
      <c r="B197" s="27" t="s">
        <v>108</v>
      </c>
      <c r="D197" s="44" t="s">
        <v>149</v>
      </c>
      <c r="E197" s="28">
        <v>73300</v>
      </c>
      <c r="F197" s="8"/>
      <c r="G197" s="98"/>
    </row>
    <row r="198" spans="2:7" s="5" customFormat="1" ht="15" customHeight="1" outlineLevel="2">
      <c r="B198" s="27" t="s">
        <v>108</v>
      </c>
      <c r="C198" s="27"/>
      <c r="D198" s="44" t="s">
        <v>155</v>
      </c>
      <c r="E198" s="28">
        <v>238793</v>
      </c>
      <c r="F198" s="8"/>
      <c r="G198" s="98"/>
    </row>
    <row r="199" spans="2:7" s="5" customFormat="1" ht="15" customHeight="1" outlineLevel="2">
      <c r="B199" s="27" t="s">
        <v>55</v>
      </c>
      <c r="D199" s="44" t="s">
        <v>122</v>
      </c>
      <c r="E199" s="28">
        <v>240628</v>
      </c>
      <c r="F199" s="8"/>
      <c r="G199" s="98"/>
    </row>
    <row r="200" spans="2:7" s="5" customFormat="1" ht="15" customHeight="1" outlineLevel="2">
      <c r="B200" s="27" t="s">
        <v>55</v>
      </c>
      <c r="D200" s="44" t="s">
        <v>169</v>
      </c>
      <c r="E200" s="28">
        <v>141636</v>
      </c>
      <c r="F200" s="8"/>
      <c r="G200" s="98"/>
    </row>
    <row r="201" spans="2:7" s="5" customFormat="1" ht="15" customHeight="1" outlineLevel="2">
      <c r="B201" s="27" t="s">
        <v>119</v>
      </c>
      <c r="D201" s="44" t="s">
        <v>277</v>
      </c>
      <c r="E201" s="28">
        <v>139340</v>
      </c>
      <c r="F201" s="8"/>
      <c r="G201" s="98"/>
    </row>
    <row r="202" spans="2:7" s="5" customFormat="1" ht="15" customHeight="1" outlineLevel="2">
      <c r="B202" s="27" t="s">
        <v>55</v>
      </c>
      <c r="D202" s="44" t="s">
        <v>279</v>
      </c>
      <c r="E202" s="28">
        <v>374706</v>
      </c>
      <c r="F202" s="8"/>
      <c r="G202" s="98"/>
    </row>
    <row r="203" spans="1:7" ht="15" customHeight="1" outlineLevel="2" thickBot="1">
      <c r="A203" s="5"/>
      <c r="B203" s="27" t="s">
        <v>51</v>
      </c>
      <c r="C203" s="88"/>
      <c r="D203" s="89" t="s">
        <v>78</v>
      </c>
      <c r="E203" s="40">
        <v>220900</v>
      </c>
      <c r="F203" s="6"/>
      <c r="G203" s="97">
        <f>SUM(E196:E203)</f>
        <v>1545502</v>
      </c>
    </row>
    <row r="204" spans="1:7" ht="15" customHeight="1" outlineLevel="2">
      <c r="A204" s="5"/>
      <c r="B204" s="27"/>
      <c r="C204" s="5"/>
      <c r="D204" s="21"/>
      <c r="E204" s="40"/>
      <c r="F204" s="6"/>
      <c r="G204" s="97"/>
    </row>
    <row r="205" spans="1:7" ht="15" customHeight="1" outlineLevel="2">
      <c r="A205" s="5"/>
      <c r="B205" s="31" t="s">
        <v>116</v>
      </c>
      <c r="C205" s="5"/>
      <c r="D205" s="22"/>
      <c r="E205" s="28"/>
      <c r="F205" s="6"/>
      <c r="G205" s="97"/>
    </row>
    <row r="206" spans="1:7" ht="15" customHeight="1" outlineLevel="2">
      <c r="A206" s="5"/>
      <c r="B206" s="96" t="s">
        <v>70</v>
      </c>
      <c r="C206" s="5"/>
      <c r="D206" s="21" t="s">
        <v>212</v>
      </c>
      <c r="E206" s="28">
        <v>100000</v>
      </c>
      <c r="F206" s="6"/>
      <c r="G206" s="97"/>
    </row>
    <row r="207" spans="1:7" ht="15" customHeight="1" outlineLevel="2">
      <c r="A207" s="5"/>
      <c r="B207" s="27" t="s">
        <v>77</v>
      </c>
      <c r="C207" s="5"/>
      <c r="D207" s="89" t="s">
        <v>196</v>
      </c>
      <c r="E207" s="28">
        <v>270900</v>
      </c>
      <c r="F207" s="6"/>
      <c r="G207" s="97"/>
    </row>
    <row r="208" spans="1:7" ht="15" customHeight="1" outlineLevel="2">
      <c r="A208" s="5"/>
      <c r="B208" s="27" t="s">
        <v>55</v>
      </c>
      <c r="C208" s="5"/>
      <c r="D208" s="89" t="s">
        <v>196</v>
      </c>
      <c r="E208" s="28">
        <v>828214</v>
      </c>
      <c r="F208" s="6"/>
      <c r="G208" s="97"/>
    </row>
    <row r="209" spans="1:7" ht="15" customHeight="1" outlineLevel="2">
      <c r="A209" s="5"/>
      <c r="B209" s="27" t="s">
        <v>96</v>
      </c>
      <c r="C209" s="5"/>
      <c r="D209" s="89" t="s">
        <v>196</v>
      </c>
      <c r="E209" s="28">
        <v>663978</v>
      </c>
      <c r="F209" s="6"/>
      <c r="G209" s="97"/>
    </row>
    <row r="210" spans="1:7" ht="15" customHeight="1" outlineLevel="2" thickBot="1">
      <c r="A210" s="5"/>
      <c r="B210" s="76" t="s">
        <v>79</v>
      </c>
      <c r="C210" s="88"/>
      <c r="D210" s="105" t="s">
        <v>196</v>
      </c>
      <c r="E210" s="100">
        <v>829221</v>
      </c>
      <c r="F210" s="101"/>
      <c r="G210" s="104"/>
    </row>
    <row r="211" spans="1:7" ht="15" customHeight="1" outlineLevel="2">
      <c r="A211" s="5"/>
      <c r="B211" s="27" t="s">
        <v>56</v>
      </c>
      <c r="C211" s="5"/>
      <c r="D211" s="89" t="s">
        <v>196</v>
      </c>
      <c r="E211" s="28">
        <v>703269</v>
      </c>
      <c r="F211" s="6"/>
      <c r="G211" s="97"/>
    </row>
    <row r="212" spans="1:7" ht="14.25" customHeight="1" outlineLevel="2">
      <c r="A212" s="5"/>
      <c r="B212" s="27" t="s">
        <v>70</v>
      </c>
      <c r="C212" s="5"/>
      <c r="D212" s="89" t="s">
        <v>196</v>
      </c>
      <c r="E212" s="28">
        <v>571061</v>
      </c>
      <c r="F212" s="6"/>
      <c r="G212" s="97"/>
    </row>
    <row r="213" spans="1:7" ht="14.25" customHeight="1" outlineLevel="2">
      <c r="A213" s="5"/>
      <c r="B213" s="27" t="s">
        <v>81</v>
      </c>
      <c r="C213" s="5"/>
      <c r="D213" s="89" t="s">
        <v>196</v>
      </c>
      <c r="E213" s="28">
        <v>643803</v>
      </c>
      <c r="F213" s="6"/>
      <c r="G213" s="97"/>
    </row>
    <row r="214" spans="1:7" ht="14.25" customHeight="1" outlineLevel="2">
      <c r="A214" s="5"/>
      <c r="B214" s="27" t="s">
        <v>80</v>
      </c>
      <c r="C214" s="5"/>
      <c r="D214" s="89" t="s">
        <v>196</v>
      </c>
      <c r="E214" s="28">
        <v>492068</v>
      </c>
      <c r="F214" s="6"/>
      <c r="G214" s="97"/>
    </row>
    <row r="215" spans="1:7" ht="14.25" customHeight="1" outlineLevel="2">
      <c r="A215" s="5"/>
      <c r="B215" s="27" t="s">
        <v>82</v>
      </c>
      <c r="C215" s="5"/>
      <c r="D215" s="89" t="s">
        <v>196</v>
      </c>
      <c r="E215" s="28">
        <v>349771</v>
      </c>
      <c r="F215" s="6"/>
      <c r="G215" s="97"/>
    </row>
    <row r="216" spans="1:7" ht="14.25" customHeight="1" outlineLevel="2">
      <c r="A216" s="5"/>
      <c r="B216" s="27" t="s">
        <v>72</v>
      </c>
      <c r="C216" s="5"/>
      <c r="D216" s="89" t="s">
        <v>196</v>
      </c>
      <c r="E216" s="40">
        <v>784574</v>
      </c>
      <c r="F216" s="6"/>
      <c r="G216" s="97">
        <f>SUM(E206:E216)</f>
        <v>6236859</v>
      </c>
    </row>
    <row r="217" spans="1:7" ht="15" customHeight="1" outlineLevel="2">
      <c r="A217" s="5"/>
      <c r="B217" s="27"/>
      <c r="C217" s="5"/>
      <c r="D217" s="21"/>
      <c r="E217" s="40"/>
      <c r="F217" s="6"/>
      <c r="G217" s="97"/>
    </row>
    <row r="218" spans="1:7" ht="15" customHeight="1" outlineLevel="2">
      <c r="A218" s="5"/>
      <c r="B218" s="31" t="s">
        <v>12</v>
      </c>
      <c r="C218" s="5"/>
      <c r="D218" s="21"/>
      <c r="E218" s="28"/>
      <c r="F218" s="6"/>
      <c r="G218" s="97"/>
    </row>
    <row r="219" spans="1:7" ht="15" customHeight="1" outlineLevel="2">
      <c r="A219" s="5"/>
      <c r="B219" s="27" t="s">
        <v>13</v>
      </c>
      <c r="C219" s="5"/>
      <c r="D219" s="89" t="s">
        <v>137</v>
      </c>
      <c r="E219" s="28">
        <v>231050</v>
      </c>
      <c r="F219" s="6"/>
      <c r="G219" s="97"/>
    </row>
    <row r="220" spans="1:7" ht="15" customHeight="1" outlineLevel="2">
      <c r="A220" s="5"/>
      <c r="B220" s="27" t="s">
        <v>76</v>
      </c>
      <c r="C220" s="11"/>
      <c r="D220" s="89" t="s">
        <v>137</v>
      </c>
      <c r="E220" s="28">
        <v>313730</v>
      </c>
      <c r="F220" s="6"/>
      <c r="G220" s="97"/>
    </row>
    <row r="221" spans="1:7" ht="15" customHeight="1" outlineLevel="2">
      <c r="A221" s="5"/>
      <c r="B221" s="27" t="s">
        <v>87</v>
      </c>
      <c r="C221" s="5"/>
      <c r="D221" s="89" t="s">
        <v>137</v>
      </c>
      <c r="E221" s="28">
        <v>273138</v>
      </c>
      <c r="F221" s="6"/>
      <c r="G221" s="97"/>
    </row>
    <row r="222" spans="1:7" ht="15" customHeight="1" outlineLevel="2">
      <c r="A222" s="5"/>
      <c r="B222" s="27" t="s">
        <v>50</v>
      </c>
      <c r="C222" s="5"/>
      <c r="D222" s="89" t="s">
        <v>137</v>
      </c>
      <c r="E222" s="28">
        <v>25607</v>
      </c>
      <c r="F222" s="6"/>
      <c r="G222" s="97"/>
    </row>
    <row r="223" spans="1:7" ht="15" customHeight="1" outlineLevel="2">
      <c r="A223" s="5"/>
      <c r="B223" s="27" t="s">
        <v>197</v>
      </c>
      <c r="C223" s="5"/>
      <c r="D223" s="89" t="s">
        <v>137</v>
      </c>
      <c r="E223" s="28">
        <v>359735</v>
      </c>
      <c r="F223" s="6"/>
      <c r="G223" s="97"/>
    </row>
    <row r="224" spans="1:7" ht="15" customHeight="1" outlineLevel="2">
      <c r="A224" s="5"/>
      <c r="B224" s="27" t="s">
        <v>198</v>
      </c>
      <c r="C224" s="5"/>
      <c r="D224" s="89" t="s">
        <v>137</v>
      </c>
      <c r="E224" s="28">
        <v>96928</v>
      </c>
      <c r="F224" s="6"/>
      <c r="G224" s="97"/>
    </row>
    <row r="225" spans="1:7" ht="15" customHeight="1" outlineLevel="2">
      <c r="A225" s="5"/>
      <c r="B225" s="27" t="s">
        <v>28</v>
      </c>
      <c r="C225" s="5"/>
      <c r="D225" s="89" t="s">
        <v>137</v>
      </c>
      <c r="E225" s="28">
        <f>84313+23641+11809+55549+21633</f>
        <v>196945</v>
      </c>
      <c r="F225" s="6"/>
      <c r="G225" s="97"/>
    </row>
    <row r="226" spans="1:7" ht="15" customHeight="1" outlineLevel="2">
      <c r="A226" s="5"/>
      <c r="B226" s="27" t="s">
        <v>84</v>
      </c>
      <c r="C226" s="5"/>
      <c r="D226" s="89" t="s">
        <v>137</v>
      </c>
      <c r="E226" s="28">
        <v>93527</v>
      </c>
      <c r="F226" s="6"/>
      <c r="G226" s="97"/>
    </row>
    <row r="227" spans="1:7" ht="15" customHeight="1" outlineLevel="2">
      <c r="A227" s="5"/>
      <c r="B227" s="27" t="s">
        <v>75</v>
      </c>
      <c r="C227" s="5"/>
      <c r="D227" s="89" t="s">
        <v>137</v>
      </c>
      <c r="E227" s="28">
        <v>49949</v>
      </c>
      <c r="F227" s="6"/>
      <c r="G227" s="26"/>
    </row>
    <row r="228" spans="1:7" ht="15" customHeight="1" outlineLevel="2" thickBot="1">
      <c r="A228" s="5"/>
      <c r="B228" s="90" t="s">
        <v>23</v>
      </c>
      <c r="C228" s="5"/>
      <c r="D228" s="89" t="s">
        <v>137</v>
      </c>
      <c r="E228" s="77">
        <v>294276</v>
      </c>
      <c r="F228" s="91"/>
      <c r="G228" s="92">
        <f>SUM(E219:E228)</f>
        <v>1934885</v>
      </c>
    </row>
    <row r="229" spans="2:7" ht="12.75" outlineLevel="1" thickBot="1">
      <c r="B229" s="47" t="s">
        <v>14</v>
      </c>
      <c r="C229" s="85"/>
      <c r="D229" s="85"/>
      <c r="E229" s="84"/>
      <c r="F229" s="48">
        <f>SUM(F8:F228)</f>
        <v>35722289</v>
      </c>
      <c r="G229" s="48">
        <f>SUM(G8:G228)</f>
        <v>56898148</v>
      </c>
    </row>
    <row r="230" spans="2:7" ht="12.75" outlineLevel="1" thickBot="1">
      <c r="B230" s="50" t="s">
        <v>15</v>
      </c>
      <c r="C230" s="85"/>
      <c r="D230" s="75"/>
      <c r="E230" s="49"/>
      <c r="F230" s="49">
        <f>G6</f>
        <v>100832020</v>
      </c>
      <c r="G230" s="49">
        <v>0</v>
      </c>
    </row>
    <row r="231" spans="2:7" ht="12.75" thickBot="1">
      <c r="B231" s="52" t="s">
        <v>16</v>
      </c>
      <c r="C231" s="85"/>
      <c r="D231" s="51"/>
      <c r="E231" s="49"/>
      <c r="F231" s="49">
        <f>SUM(F229:F230)</f>
        <v>136554309</v>
      </c>
      <c r="G231" s="49">
        <f>SUM(G229:G230)</f>
        <v>56898148</v>
      </c>
    </row>
    <row r="232" spans="2:7" ht="12" thickBot="1">
      <c r="B232" s="7"/>
      <c r="C232" s="88"/>
      <c r="D232" s="7"/>
      <c r="E232" s="6"/>
      <c r="F232" s="6"/>
      <c r="G232" s="6"/>
    </row>
    <row r="233" spans="1:7" s="9" customFormat="1" ht="15" customHeight="1" thickBot="1">
      <c r="A233" s="11"/>
      <c r="B233" s="53" t="s">
        <v>140</v>
      </c>
      <c r="C233" s="54"/>
      <c r="D233" s="54"/>
      <c r="E233" s="55">
        <f>F229+F230-G229</f>
        <v>79656161</v>
      </c>
      <c r="F233" s="13" t="s">
        <v>7</v>
      </c>
      <c r="G233"/>
    </row>
    <row r="234" spans="2:7" s="5" customFormat="1" ht="35.25" customHeight="1">
      <c r="B234" s="7"/>
      <c r="D234" s="7"/>
      <c r="E234" s="6"/>
      <c r="F234" s="6"/>
      <c r="G234" s="6"/>
    </row>
    <row r="235" spans="2:7" s="5" customFormat="1" ht="12">
      <c r="B235" s="7"/>
      <c r="D235" s="7"/>
      <c r="E235" s="6"/>
      <c r="F235" s="13" t="s">
        <v>99</v>
      </c>
      <c r="G235" s="6"/>
    </row>
    <row r="236" spans="2:7" s="5" customFormat="1" ht="12">
      <c r="B236" s="5" t="s">
        <v>286</v>
      </c>
      <c r="D236" s="7"/>
      <c r="E236" s="6"/>
      <c r="F236" s="13" t="s">
        <v>100</v>
      </c>
      <c r="G236" s="6"/>
    </row>
    <row r="237" spans="4:7" s="5" customFormat="1" ht="15" customHeight="1">
      <c r="D237" s="12"/>
      <c r="E237" s="14"/>
      <c r="F237" s="13"/>
      <c r="G237" s="13"/>
    </row>
    <row r="238" spans="5:7" s="5" customFormat="1" ht="15" customHeight="1">
      <c r="E238" s="8"/>
      <c r="F238" s="6"/>
      <c r="G238" s="6"/>
    </row>
    <row r="239" spans="3:6" ht="11.25">
      <c r="C239" s="5"/>
      <c r="F239" s="3"/>
    </row>
    <row r="240" spans="3:5" ht="11.25">
      <c r="C240" s="5"/>
      <c r="E240" s="3"/>
    </row>
    <row r="241" ht="11.25">
      <c r="C241" s="5"/>
    </row>
    <row r="242" ht="11.25">
      <c r="C242" s="5"/>
    </row>
    <row r="243" ht="11.25">
      <c r="C243" s="5"/>
    </row>
    <row r="244" ht="11.25">
      <c r="C244" s="5"/>
    </row>
    <row r="245" ht="11.25">
      <c r="C245" s="5"/>
    </row>
    <row r="246" ht="11.25">
      <c r="C246" s="5"/>
    </row>
  </sheetData>
  <sheetProtection/>
  <autoFilter ref="E4:E238"/>
  <printOptions horizontalCentered="1"/>
  <pageMargins left="0.3937007874015748" right="0.3937007874015748" top="0.41" bottom="0.47" header="0" footer="0"/>
  <pageSetup horizontalDpi="600" verticalDpi="600" orientation="landscape" paperSize="9" r:id="rId2"/>
  <rowBreaks count="1" manualBreakCount="1"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54"/>
  <sheetViews>
    <sheetView zoomScalePageLayoutView="0" workbookViewId="0" topLeftCell="A1">
      <selection activeCell="C35" sqref="C35"/>
    </sheetView>
  </sheetViews>
  <sheetFormatPr defaultColWidth="11.421875" defaultRowHeight="12.75"/>
  <cols>
    <col min="1" max="1" width="4.00390625" style="15" customWidth="1"/>
    <col min="2" max="2" width="36.421875" style="15" customWidth="1"/>
    <col min="3" max="4" width="11.421875" style="15" customWidth="1"/>
    <col min="5" max="5" width="0" style="15" hidden="1" customWidth="1"/>
    <col min="6" max="16384" width="11.421875" style="15" customWidth="1"/>
  </cols>
  <sheetData>
    <row r="3" ht="12.75">
      <c r="B3" s="16"/>
    </row>
    <row r="4" ht="12.75">
      <c r="B4" s="16"/>
    </row>
    <row r="5" ht="13.5" thickBot="1">
      <c r="B5" s="16"/>
    </row>
    <row r="6" spans="2:5" s="17" customFormat="1" ht="28.5" customHeight="1" thickBot="1">
      <c r="B6" s="65" t="s">
        <v>58</v>
      </c>
      <c r="C6" s="65" t="s">
        <v>35</v>
      </c>
      <c r="D6" s="65"/>
      <c r="E6" s="60" t="s">
        <v>53</v>
      </c>
    </row>
    <row r="7" spans="2:5" s="5" customFormat="1" ht="15" customHeight="1">
      <c r="B7" s="27" t="s">
        <v>36</v>
      </c>
      <c r="C7" s="27">
        <v>88</v>
      </c>
      <c r="D7" s="28">
        <v>466400</v>
      </c>
      <c r="E7" s="56">
        <f>378400+4300+378400+4300</f>
        <v>765400</v>
      </c>
    </row>
    <row r="8" spans="2:5" s="5" customFormat="1" ht="15" customHeight="1">
      <c r="B8" s="27" t="s">
        <v>31</v>
      </c>
      <c r="C8" s="27">
        <v>120</v>
      </c>
      <c r="D8" s="28">
        <v>636000</v>
      </c>
      <c r="E8" s="56">
        <f>533200+8600</f>
        <v>541800</v>
      </c>
    </row>
    <row r="9" spans="2:5" s="5" customFormat="1" ht="15" customHeight="1">
      <c r="B9" s="27" t="s">
        <v>34</v>
      </c>
      <c r="C9" s="27">
        <f>248+1</f>
        <v>249</v>
      </c>
      <c r="D9" s="28">
        <f>1314400+6630</f>
        <v>1321030</v>
      </c>
      <c r="E9" s="56">
        <f>838500+8600+834200+8600</f>
        <v>1689900</v>
      </c>
    </row>
    <row r="10" spans="2:5" s="5" customFormat="1" ht="15" customHeight="1">
      <c r="B10" s="27" t="s">
        <v>37</v>
      </c>
      <c r="C10" s="27">
        <v>156</v>
      </c>
      <c r="D10" s="28">
        <v>826800</v>
      </c>
      <c r="E10" s="56">
        <v>0</v>
      </c>
    </row>
    <row r="11" spans="2:5" s="5" customFormat="1" ht="15" customHeight="1">
      <c r="B11" s="27" t="s">
        <v>29</v>
      </c>
      <c r="C11" s="27">
        <v>186</v>
      </c>
      <c r="D11" s="28">
        <v>985800</v>
      </c>
      <c r="E11" s="56">
        <f>8600+967500</f>
        <v>976100</v>
      </c>
    </row>
    <row r="12" spans="2:5" s="5" customFormat="1" ht="15" customHeight="1">
      <c r="B12" s="27" t="s">
        <v>38</v>
      </c>
      <c r="C12" s="27">
        <f>500+2</f>
        <v>502</v>
      </c>
      <c r="D12" s="28">
        <f>25440+2120+2650000</f>
        <v>2677560</v>
      </c>
      <c r="E12" s="56">
        <f>17200+223100+8600+8600</f>
        <v>257500</v>
      </c>
    </row>
    <row r="13" spans="2:5" s="5" customFormat="1" ht="15" customHeight="1">
      <c r="B13" s="27" t="s">
        <v>39</v>
      </c>
      <c r="C13" s="27">
        <f>677+7</f>
        <v>684</v>
      </c>
      <c r="D13" s="28">
        <f>5100+2120+2040+2040+2040+3588100+2160+2120</f>
        <v>3605720</v>
      </c>
      <c r="E13" s="56">
        <f>3457200+30100+3990</f>
        <v>3491290</v>
      </c>
    </row>
    <row r="14" spans="2:5" s="5" customFormat="1" ht="15" customHeight="1">
      <c r="B14" s="27" t="s">
        <v>40</v>
      </c>
      <c r="C14" s="27">
        <v>147</v>
      </c>
      <c r="D14" s="28">
        <f>779100</f>
        <v>779100</v>
      </c>
      <c r="E14" s="56">
        <f>8600+602000+593400</f>
        <v>1204000</v>
      </c>
    </row>
    <row r="15" spans="2:5" s="5" customFormat="1" ht="15" customHeight="1">
      <c r="B15" s="27" t="s">
        <v>27</v>
      </c>
      <c r="C15" s="27">
        <v>176</v>
      </c>
      <c r="D15" s="28">
        <f>932800+932800</f>
        <v>1865600</v>
      </c>
      <c r="E15" s="56">
        <f>640700+653600</f>
        <v>1294300</v>
      </c>
    </row>
    <row r="16" spans="2:5" s="5" customFormat="1" ht="15" customHeight="1">
      <c r="B16" s="27" t="s">
        <v>41</v>
      </c>
      <c r="C16" s="27">
        <v>396</v>
      </c>
      <c r="D16" s="28">
        <v>2098800</v>
      </c>
      <c r="E16" s="56">
        <f>1797400+8600</f>
        <v>1806000</v>
      </c>
    </row>
    <row r="17" spans="2:5" s="5" customFormat="1" ht="15" customHeight="1">
      <c r="B17" s="27" t="s">
        <v>42</v>
      </c>
      <c r="C17" s="27">
        <v>171</v>
      </c>
      <c r="D17" s="28">
        <v>906300</v>
      </c>
      <c r="E17" s="56">
        <v>774000</v>
      </c>
    </row>
    <row r="18" spans="2:5" s="5" customFormat="1" ht="15" customHeight="1">
      <c r="B18" s="27" t="s">
        <v>43</v>
      </c>
      <c r="C18" s="27">
        <f>340+3</f>
        <v>343</v>
      </c>
      <c r="D18" s="28">
        <f>6360+1796700+3000+5300</f>
        <v>1811360</v>
      </c>
      <c r="E18" s="56">
        <f>1427290</f>
        <v>1427290</v>
      </c>
    </row>
    <row r="19" spans="2:5" s="5" customFormat="1" ht="15" customHeight="1">
      <c r="B19" s="27" t="s">
        <v>26</v>
      </c>
      <c r="C19" s="27">
        <v>108</v>
      </c>
      <c r="D19" s="28">
        <v>572400</v>
      </c>
      <c r="E19" s="56">
        <v>442900</v>
      </c>
    </row>
    <row r="20" spans="2:5" s="5" customFormat="1" ht="15" customHeight="1">
      <c r="B20" s="27" t="s">
        <v>44</v>
      </c>
      <c r="C20" s="27">
        <f>476+6</f>
        <v>482</v>
      </c>
      <c r="D20" s="28">
        <f>2040+2522800+2120+21200+21200+4240+4240</f>
        <v>2577840</v>
      </c>
      <c r="E20" s="56">
        <f>1720+12900+2128500</f>
        <v>2143120</v>
      </c>
    </row>
    <row r="21" spans="2:5" s="5" customFormat="1" ht="15" customHeight="1">
      <c r="B21" s="27" t="s">
        <v>32</v>
      </c>
      <c r="C21" s="27">
        <v>301</v>
      </c>
      <c r="D21" s="28">
        <v>1595300</v>
      </c>
      <c r="E21" s="56">
        <f>7740+1388900+12900+1596</f>
        <v>1411136</v>
      </c>
    </row>
    <row r="22" spans="2:5" s="5" customFormat="1" ht="15" customHeight="1">
      <c r="B22" s="27" t="s">
        <v>45</v>
      </c>
      <c r="C22" s="27">
        <v>238</v>
      </c>
      <c r="D22" s="28">
        <v>1261400</v>
      </c>
      <c r="E22" s="56">
        <f>12900+924500+4300</f>
        <v>941700</v>
      </c>
    </row>
    <row r="23" spans="2:5" s="5" customFormat="1" ht="15" customHeight="1">
      <c r="B23" s="27" t="s">
        <v>33</v>
      </c>
      <c r="C23" s="27">
        <v>198</v>
      </c>
      <c r="D23" s="28">
        <v>1049400</v>
      </c>
      <c r="E23" s="56">
        <f>645000</f>
        <v>645000</v>
      </c>
    </row>
    <row r="24" spans="2:5" s="5" customFormat="1" ht="15" customHeight="1">
      <c r="B24" s="27" t="s">
        <v>46</v>
      </c>
      <c r="C24" s="27">
        <v>131</v>
      </c>
      <c r="D24" s="28">
        <v>694300</v>
      </c>
      <c r="E24" s="56">
        <f>4300+520300</f>
        <v>524600</v>
      </c>
    </row>
    <row r="25" spans="2:5" s="5" customFormat="1" ht="15" customHeight="1" thickBot="1">
      <c r="B25" s="27" t="s">
        <v>47</v>
      </c>
      <c r="C25" s="27">
        <f>114+1</f>
        <v>115</v>
      </c>
      <c r="D25" s="40">
        <f>604200+47700</f>
        <v>651900</v>
      </c>
      <c r="E25" s="57">
        <f>4300+464400</f>
        <v>468700</v>
      </c>
    </row>
    <row r="26" spans="2:5" s="5" customFormat="1" ht="15" customHeight="1" thickBot="1">
      <c r="B26" s="41"/>
      <c r="C26" s="41">
        <f>SUM(C7:C25)</f>
        <v>4791</v>
      </c>
      <c r="D26" s="66">
        <f>SUM(D7:D25)</f>
        <v>26383010</v>
      </c>
      <c r="E26" s="61"/>
    </row>
    <row r="27" spans="2:5" ht="15.75" customHeight="1" hidden="1" thickBot="1">
      <c r="B27" s="58" t="s">
        <v>54</v>
      </c>
      <c r="C27" s="59"/>
      <c r="D27" s="62"/>
      <c r="E27" s="19" t="e">
        <f>SUM(#REF!)</f>
        <v>#REF!</v>
      </c>
    </row>
    <row r="36" ht="12.75">
      <c r="F36" s="5"/>
    </row>
    <row r="37" ht="12.75">
      <c r="F37" s="5"/>
    </row>
    <row r="38" ht="12.75">
      <c r="F38" s="5"/>
    </row>
    <row r="39" ht="12.75">
      <c r="F39" s="5"/>
    </row>
    <row r="40" ht="12.75">
      <c r="F40" s="5"/>
    </row>
    <row r="41" ht="12.75">
      <c r="F41" s="5"/>
    </row>
    <row r="42" ht="12.75">
      <c r="F42" s="5"/>
    </row>
    <row r="43" ht="12.75">
      <c r="F43" s="5"/>
    </row>
    <row r="44" ht="12.75">
      <c r="F44" s="5"/>
    </row>
    <row r="45" ht="12.75">
      <c r="F45" s="5"/>
    </row>
    <row r="46" ht="12.75">
      <c r="F46" s="5"/>
    </row>
    <row r="47" ht="12.75">
      <c r="F47" s="5"/>
    </row>
    <row r="48" ht="12.75">
      <c r="F48" s="5"/>
    </row>
    <row r="49" ht="12.75">
      <c r="F49" s="5"/>
    </row>
    <row r="50" ht="12.75">
      <c r="F50" s="5"/>
    </row>
    <row r="51" ht="12.75">
      <c r="F51" s="5"/>
    </row>
    <row r="52" ht="12.75">
      <c r="F52" s="5"/>
    </row>
    <row r="53" ht="12.75">
      <c r="F53" s="5"/>
    </row>
    <row r="54" ht="12.75">
      <c r="F54" s="5"/>
    </row>
  </sheetData>
  <sheetProtection/>
  <printOptions horizontalCentered="1"/>
  <pageMargins left="0.7874015748031497" right="0.7874015748031497" top="0.984251968503937" bottom="0.984251968503937" header="0" footer="0"/>
  <pageSetup horizontalDpi="300" verticalDpi="300" orientation="landscape" scale="105" r:id="rId1"/>
  <headerFooter alignWithMargins="0">
    <oddHeader>&amp;L&amp;"Book Antiqua,Negrita Cursiva"Asociación Nacional de Empleados 
             Poder Judicial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D28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4.00390625" style="15" customWidth="1"/>
    <col min="2" max="2" width="14.28125" style="15" customWidth="1"/>
    <col min="3" max="3" width="43.140625" style="15" customWidth="1"/>
    <col min="4" max="4" width="11.421875" style="18" customWidth="1"/>
    <col min="5" max="16384" width="11.421875" style="15" customWidth="1"/>
  </cols>
  <sheetData>
    <row r="1" ht="26.25" customHeight="1"/>
    <row r="2" ht="26.25" customHeight="1"/>
    <row r="3" spans="2:3" ht="12.75">
      <c r="B3" s="16"/>
      <c r="C3" s="16"/>
    </row>
    <row r="4" spans="2:3" ht="14.25">
      <c r="B4" s="16"/>
      <c r="C4" s="73" t="s">
        <v>71</v>
      </c>
    </row>
    <row r="5" ht="13.5" thickBot="1"/>
    <row r="6" spans="2:4" s="17" customFormat="1" ht="28.5" customHeight="1" thickBot="1">
      <c r="B6" s="63" t="s">
        <v>62</v>
      </c>
      <c r="C6" s="65" t="s">
        <v>63</v>
      </c>
      <c r="D6" s="69" t="s">
        <v>64</v>
      </c>
    </row>
    <row r="7" spans="2:4" s="5" customFormat="1" ht="15" customHeight="1">
      <c r="B7" s="67"/>
      <c r="C7" s="27"/>
      <c r="D7" s="68"/>
    </row>
    <row r="8" spans="2:4" s="5" customFormat="1" ht="15" customHeight="1">
      <c r="B8" s="67"/>
      <c r="C8" s="27"/>
      <c r="D8" s="68"/>
    </row>
    <row r="9" spans="2:4" s="5" customFormat="1" ht="15" customHeight="1">
      <c r="B9" s="67"/>
      <c r="C9" s="27"/>
      <c r="D9" s="68"/>
    </row>
    <row r="10" spans="2:4" s="5" customFormat="1" ht="15" customHeight="1">
      <c r="B10" s="67"/>
      <c r="C10" s="27"/>
      <c r="D10" s="68"/>
    </row>
    <row r="11" spans="2:4" s="5" customFormat="1" ht="15" customHeight="1">
      <c r="B11" s="67"/>
      <c r="C11" s="27"/>
      <c r="D11" s="68"/>
    </row>
    <row r="12" spans="2:4" s="5" customFormat="1" ht="15" customHeight="1">
      <c r="B12" s="67"/>
      <c r="C12" s="27"/>
      <c r="D12" s="68"/>
    </row>
    <row r="13" spans="2:4" s="5" customFormat="1" ht="15" customHeight="1">
      <c r="B13" s="67"/>
      <c r="C13" s="27"/>
      <c r="D13" s="68"/>
    </row>
    <row r="14" spans="2:4" s="5" customFormat="1" ht="15" customHeight="1">
      <c r="B14" s="67"/>
      <c r="C14" s="27"/>
      <c r="D14" s="68"/>
    </row>
    <row r="15" spans="2:4" s="5" customFormat="1" ht="15" customHeight="1">
      <c r="B15" s="67"/>
      <c r="C15" s="27"/>
      <c r="D15" s="68"/>
    </row>
    <row r="16" spans="2:4" s="5" customFormat="1" ht="15" customHeight="1">
      <c r="B16" s="67"/>
      <c r="C16" s="27"/>
      <c r="D16" s="68"/>
    </row>
    <row r="17" spans="2:4" s="5" customFormat="1" ht="15" customHeight="1">
      <c r="B17" s="67"/>
      <c r="C17" s="27"/>
      <c r="D17" s="68"/>
    </row>
    <row r="18" spans="2:4" s="5" customFormat="1" ht="15" customHeight="1">
      <c r="B18" s="67"/>
      <c r="C18" s="27"/>
      <c r="D18" s="68"/>
    </row>
    <row r="19" spans="2:4" s="5" customFormat="1" ht="15" customHeight="1">
      <c r="B19" s="67"/>
      <c r="C19" s="27"/>
      <c r="D19" s="68"/>
    </row>
    <row r="20" spans="2:4" s="5" customFormat="1" ht="15" customHeight="1">
      <c r="B20" s="67"/>
      <c r="C20" s="27"/>
      <c r="D20" s="68"/>
    </row>
    <row r="21" spans="2:4" s="5" customFormat="1" ht="15" customHeight="1">
      <c r="B21" s="67"/>
      <c r="C21" s="27"/>
      <c r="D21" s="68"/>
    </row>
    <row r="22" spans="2:4" s="5" customFormat="1" ht="15" customHeight="1">
      <c r="B22" s="67"/>
      <c r="C22" s="27"/>
      <c r="D22" s="68"/>
    </row>
    <row r="23" spans="2:4" s="5" customFormat="1" ht="15" customHeight="1">
      <c r="B23" s="67"/>
      <c r="C23" s="27"/>
      <c r="D23" s="68"/>
    </row>
    <row r="24" spans="2:4" s="5" customFormat="1" ht="15" customHeight="1">
      <c r="B24" s="67"/>
      <c r="C24" s="27"/>
      <c r="D24" s="68"/>
    </row>
    <row r="25" spans="2:4" s="5" customFormat="1" ht="15" customHeight="1">
      <c r="B25" s="67"/>
      <c r="C25" s="27"/>
      <c r="D25" s="68"/>
    </row>
    <row r="26" spans="2:4" s="5" customFormat="1" ht="15" customHeight="1">
      <c r="B26" s="67"/>
      <c r="C26" s="27"/>
      <c r="D26" s="68"/>
    </row>
    <row r="27" spans="2:4" s="5" customFormat="1" ht="13.5" customHeight="1" thickBot="1">
      <c r="B27" s="70"/>
      <c r="C27" s="33"/>
      <c r="D27" s="71"/>
    </row>
    <row r="28" spans="2:4" s="5" customFormat="1" ht="15" customHeight="1" thickBot="1">
      <c r="B28" s="65"/>
      <c r="C28" s="64"/>
      <c r="D28" s="72">
        <f>SUM(D7:D27)</f>
        <v>0</v>
      </c>
    </row>
  </sheetData>
  <sheetProtection/>
  <printOptions horizontalCentered="1"/>
  <pageMargins left="0.7874015748031497" right="0.7874015748031497" top="0.984251968503937" bottom="0.984251968503937" header="0" footer="0"/>
  <pageSetup horizontalDpi="1200" verticalDpi="12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Aranguiz</dc:creator>
  <cp:keywords/>
  <dc:description/>
  <cp:lastModifiedBy>Usuario</cp:lastModifiedBy>
  <cp:lastPrinted>2019-05-20T19:37:38Z</cp:lastPrinted>
  <dcterms:created xsi:type="dcterms:W3CDTF">2000-09-21T06:07:13Z</dcterms:created>
  <dcterms:modified xsi:type="dcterms:W3CDTF">2019-05-20T19:37:44Z</dcterms:modified>
  <cp:category/>
  <cp:version/>
  <cp:contentType/>
  <cp:contentStatus/>
</cp:coreProperties>
</file>