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'informe'!$E$4:$E$198</definedName>
    <definedName name="_xlnm.Print_Titles" localSheetId="1">'informe'!$7:$7</definedName>
  </definedNames>
  <calcPr fullCalcOnLoad="1"/>
</workbook>
</file>

<file path=xl/sharedStrings.xml><?xml version="1.0" encoding="utf-8"?>
<sst xmlns="http://schemas.openxmlformats.org/spreadsheetml/2006/main" count="334" uniqueCount="249">
  <si>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</si>
  <si>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</si>
  <si>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</si>
  <si>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</si>
  <si>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</si>
  <si>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</si>
  <si>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</si>
  <si>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</si>
  <si>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</si>
  <si>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</si>
  <si>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</si>
  <si>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</si>
  <si>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</si>
  <si>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</si>
  <si>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</si>
  <si>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</si>
  <si>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</si>
  <si>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</si>
  <si>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AGUAS ANDINAS S.A.</t>
  </si>
  <si>
    <t>TESORERIA GENERAL DE LA REPUBLICA</t>
  </si>
  <si>
    <t>DEPARTAMENTO GREMIAL</t>
  </si>
  <si>
    <t>PASAJES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</si>
  <si>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</si>
  <si>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</si>
  <si>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</si>
  <si>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</si>
  <si>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</si>
  <si>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</si>
  <si>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</si>
  <si>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</si>
  <si>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</si>
  <si>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</si>
  <si>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</si>
  <si>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</si>
  <si>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</si>
  <si>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</si>
  <si>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</si>
  <si>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</si>
  <si>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</si>
  <si>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</si>
  <si>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</si>
  <si>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</si>
  <si>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</si>
  <si>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</si>
  <si>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</si>
  <si>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</si>
  <si>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</si>
  <si>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</si>
  <si>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HABITAT</t>
  </si>
  <si>
    <t>DETALLE</t>
  </si>
  <si>
    <t>CHILQUINTA</t>
  </si>
  <si>
    <t xml:space="preserve">CAJA COMPENSACION </t>
  </si>
  <si>
    <t>DIRECTV</t>
  </si>
  <si>
    <t>COÑARIPE</t>
  </si>
  <si>
    <t>AYUDA REGIONAL</t>
  </si>
  <si>
    <t>TOTAL AYUDAS SOLIDARIAS</t>
  </si>
  <si>
    <t>PEDRO CACERES</t>
  </si>
  <si>
    <t>YEHIMY LLAMOCA</t>
  </si>
  <si>
    <t>MODELO</t>
  </si>
  <si>
    <t>FONDOS POR RENDIR</t>
  </si>
  <si>
    <t>ASOCIACION REGIONAL</t>
  </si>
  <si>
    <t>CTC Hogar y Of. Directorio</t>
  </si>
  <si>
    <t>Luz Loncura</t>
  </si>
  <si>
    <t>Agua</t>
  </si>
  <si>
    <t xml:space="preserve">FECHA </t>
  </si>
  <si>
    <t>NOMBRE</t>
  </si>
  <si>
    <t>MONTO</t>
  </si>
  <si>
    <t>HONORARIOS</t>
  </si>
  <si>
    <t>IRIS URZUA URZUA</t>
  </si>
  <si>
    <t>SAESA S.A.</t>
  </si>
  <si>
    <t>HOGAR JUDICIAL A-B</t>
  </si>
  <si>
    <t>HOGAR JUDICIAL C</t>
  </si>
  <si>
    <t>ALVARO PARDOW</t>
  </si>
  <si>
    <t>VICTOR FUENTES</t>
  </si>
  <si>
    <t xml:space="preserve">DETALLE RADIO TAXI </t>
  </si>
  <si>
    <t>MARIA VALERIA</t>
  </si>
  <si>
    <t>JULIETA VEGA  HERRERA</t>
  </si>
  <si>
    <t>Luz</t>
  </si>
  <si>
    <t>AFP PLANVITAL</t>
  </si>
  <si>
    <t>ISAPRE MASVIDA</t>
  </si>
  <si>
    <t>ISAPRE BANMEDICA</t>
  </si>
  <si>
    <t>ELBA QUEZADA</t>
  </si>
  <si>
    <t xml:space="preserve">Tv Cable </t>
  </si>
  <si>
    <t xml:space="preserve">CYNTHIA PAIRO </t>
  </si>
  <si>
    <t>JUAN CIRO LOPEZ</t>
  </si>
  <si>
    <t>PABLO MOLINA</t>
  </si>
  <si>
    <t>ANA CANEO</t>
  </si>
  <si>
    <t>NANCY CATRILAF</t>
  </si>
  <si>
    <t>AFP CUPRUM</t>
  </si>
  <si>
    <t>MARIA CRISTINA CABRERA MUÑOZ</t>
  </si>
  <si>
    <t>ENEL</t>
  </si>
  <si>
    <t>IPS</t>
  </si>
  <si>
    <t>Asesoria Mensual</t>
  </si>
  <si>
    <t>Luz Coñaripe y Mehuin</t>
  </si>
  <si>
    <t>CTC Oficina tesorería</t>
  </si>
  <si>
    <t>Pago cta Entel celulares institucionales</t>
  </si>
  <si>
    <t>Estadía Socios</t>
  </si>
  <si>
    <t>Estadía socios</t>
  </si>
  <si>
    <t>RELACIONES PUBLICAS</t>
  </si>
  <si>
    <t>SANDRA ROJO</t>
  </si>
  <si>
    <t>MARCUS FERRADA</t>
  </si>
  <si>
    <t>GUILLERMO QUIROZ</t>
  </si>
  <si>
    <t>WALESKA AGUILAR</t>
  </si>
  <si>
    <t>JULIO HORMAZABAL</t>
  </si>
  <si>
    <t>CASONA HOGAR</t>
  </si>
  <si>
    <t xml:space="preserve">IVONNE ITURRIAGA </t>
  </si>
  <si>
    <t xml:space="preserve">    SANDRA ROJO ARENAS</t>
  </si>
  <si>
    <t xml:space="preserve">           Tesorera Nacional</t>
  </si>
  <si>
    <t>CLAUDIO AROS</t>
  </si>
  <si>
    <t xml:space="preserve">Gas </t>
  </si>
  <si>
    <t>JUEGOS DEPORTIVOS</t>
  </si>
  <si>
    <t>RICARDO ALVAREZ</t>
  </si>
  <si>
    <t>MOVISTAR</t>
  </si>
  <si>
    <t>HDI SEGUROS</t>
  </si>
  <si>
    <t>Seguro Incendio</t>
  </si>
  <si>
    <t>LUIS ZUÑIGA</t>
  </si>
  <si>
    <t>Fondos por Rendir Loncura</t>
  </si>
  <si>
    <t>CYNTHIA PAIRO</t>
  </si>
  <si>
    <t xml:space="preserve">SOC. DIST. COM. XIMA </t>
  </si>
  <si>
    <t>Compra carne Loncura</t>
  </si>
  <si>
    <t>MIGUEL YUAN</t>
  </si>
  <si>
    <t>JAIME RETAMAL</t>
  </si>
  <si>
    <t>Gas Coñaripe</t>
  </si>
  <si>
    <t>Arts. Aseo Hogar</t>
  </si>
  <si>
    <t>ASOC.REGIONAL TALCA</t>
  </si>
  <si>
    <t>METLIFE CHILE</t>
  </si>
  <si>
    <t>Poliza seguro Directorio</t>
  </si>
  <si>
    <t>SOC. PESQUERA MARLIMAR</t>
  </si>
  <si>
    <t>Pescado Loncura</t>
  </si>
  <si>
    <t>Extras</t>
  </si>
  <si>
    <t>RODRIGO HERRERA</t>
  </si>
  <si>
    <t>Servicio Garzon Atencion Año Nuevo Loncura</t>
  </si>
  <si>
    <t>MARIBEL PONCE</t>
  </si>
  <si>
    <t>ADOLFO SANDOVAL</t>
  </si>
  <si>
    <t>LATAM</t>
  </si>
  <si>
    <t xml:space="preserve">Recarga Cabaña  Coñaripe </t>
  </si>
  <si>
    <t>ENILDE HERNANDEZ</t>
  </si>
  <si>
    <t>Gas Loncura</t>
  </si>
  <si>
    <t>AGUAS ANGINAS</t>
  </si>
  <si>
    <t>Consumo Agua</t>
  </si>
  <si>
    <t>UBERLINDA URQUEJO</t>
  </si>
  <si>
    <t>Gas Mehuin</t>
  </si>
  <si>
    <t>VICTOR FERNANDEZ</t>
  </si>
  <si>
    <t>Verdura Loncura</t>
  </si>
  <si>
    <t>Compras varias Loncura</t>
  </si>
  <si>
    <t>16 Detergentes Hogar</t>
  </si>
  <si>
    <t>Diferencia fondos compras Loncura</t>
  </si>
  <si>
    <t>CLAUDIO RIQUELME</t>
  </si>
  <si>
    <t>Compra Pan Loncura</t>
  </si>
  <si>
    <t>DIAZ VALDES</t>
  </si>
  <si>
    <t xml:space="preserve">Papel dispensadores Hogar </t>
  </si>
  <si>
    <t>TEXTIL CASALE LTDA</t>
  </si>
  <si>
    <t>Inst. Cubrepiso hogar B</t>
  </si>
  <si>
    <t>Asist. Comité Nacional de Jovenes (2)</t>
  </si>
  <si>
    <t>RICARDO BERNAL</t>
  </si>
  <si>
    <t>Bebestible Loncura</t>
  </si>
  <si>
    <t>ALEJANDRO SOTO</t>
  </si>
  <si>
    <t>Ayudante cocina Loncura</t>
  </si>
  <si>
    <t>RAUL ARAYA</t>
  </si>
  <si>
    <t>SUELDOS</t>
  </si>
  <si>
    <t>Enero</t>
  </si>
  <si>
    <t>Mantención jardín Loncura enero</t>
  </si>
  <si>
    <t>Mantención cabañas Coñaripe  enero</t>
  </si>
  <si>
    <t>MUEBLES E INSTALACIONES</t>
  </si>
  <si>
    <t>Mantención cabaña Mehuin enero</t>
  </si>
  <si>
    <t>ROBERTO MIÑO</t>
  </si>
  <si>
    <t>MEHUIN</t>
  </si>
  <si>
    <t xml:space="preserve">Impto. Unico </t>
  </si>
  <si>
    <t>FEBRERO 2019</t>
  </si>
  <si>
    <t>SALDO EN CTA. CTE. AL 28/02/2019</t>
  </si>
  <si>
    <t>Insstalaion piso Porcelanato Loncura</t>
  </si>
  <si>
    <t>INTACERAMI  ILLANES</t>
  </si>
  <si>
    <t>Compras Jumbo Loncura</t>
  </si>
  <si>
    <t>Maestro Jose Barrientos</t>
  </si>
  <si>
    <t>Movilizacion Loncura</t>
  </si>
  <si>
    <t>Mantencion piscina y licuadora loncura</t>
  </si>
  <si>
    <t>MAYRA PONCE</t>
  </si>
  <si>
    <t>Servicio Aseo Cabañas</t>
  </si>
  <si>
    <t>JOSE IGNACIO VALENZUELA</t>
  </si>
  <si>
    <t>Monitor Temporada Verano Loncura</t>
  </si>
  <si>
    <t>MAURICIO MORA</t>
  </si>
  <si>
    <t>Servicio garzon atencion Febrero Loncura</t>
  </si>
  <si>
    <t>Maestro Cocina Febrero Loncura</t>
  </si>
  <si>
    <t>Lamparas Emergencia Coñaripe</t>
  </si>
  <si>
    <t>Cubre colchon y ampolletas Coñaripe</t>
  </si>
  <si>
    <t>Saldo arriendo cabaña Coñaripe</t>
  </si>
  <si>
    <t>Trabajos Mantencion Coñaripe y Mehuin</t>
  </si>
  <si>
    <t>Copias de llave Cabañas Coñaripe</t>
  </si>
  <si>
    <t>JULIETA VEGA</t>
  </si>
  <si>
    <t>Fondos por Rendir Mehuin</t>
  </si>
  <si>
    <t>Supervision Loncura y reunion Porcelanato</t>
  </si>
  <si>
    <t xml:space="preserve">ALFONSO MENESES </t>
  </si>
  <si>
    <t>Instalacion Filtro y materiales</t>
  </si>
  <si>
    <t>LIMATCO</t>
  </si>
  <si>
    <t>Socalo Porcelanato</t>
  </si>
  <si>
    <t>Desratizacion Mehuin</t>
  </si>
  <si>
    <t>Asist. Comité Moderniz. Juramento Ministro</t>
  </si>
  <si>
    <t>Asist. Reunion Directorio y Consultivo</t>
  </si>
  <si>
    <t>Visita Regional Limari Choapa</t>
  </si>
  <si>
    <t>REGINA ACOSTA</t>
  </si>
  <si>
    <t>Traslado taxi 2do semestre 2018</t>
  </si>
  <si>
    <t>Pasaje Reunion Febrero Yanet Vasquez</t>
  </si>
  <si>
    <t>Reunion Isp Enero</t>
  </si>
  <si>
    <t>Reunion Psicosocial Corte suprema</t>
  </si>
  <si>
    <t>Gastos Reuniones de Hacienda</t>
  </si>
  <si>
    <t>Reunion Comision Capacitacion</t>
  </si>
  <si>
    <t xml:space="preserve">Asist. Reuniones varias </t>
  </si>
  <si>
    <t xml:space="preserve">Traslado taxi </t>
  </si>
  <si>
    <t>Almuerzo Reunion Achs</t>
  </si>
  <si>
    <t>Reunion Achs</t>
  </si>
  <si>
    <t>Entrevista Acta 103 Corte Suprema</t>
  </si>
  <si>
    <t>Pasaje Reunion Marzo Yanet Vasquez</t>
  </si>
  <si>
    <t>Reunion Isp Mujer Achs movilizacion</t>
  </si>
  <si>
    <t>Asesoría Jurídica Enero</t>
  </si>
  <si>
    <t>CIRILO LOPEZ</t>
  </si>
  <si>
    <t>Arreglo soldadura candado cama elastica Loncura</t>
  </si>
  <si>
    <t>Fondos por Rendira Caja Chica</t>
  </si>
  <si>
    <t>Aseo y mantención Enero</t>
  </si>
  <si>
    <t>Ipc Acumulado 2017 a 2018</t>
  </si>
  <si>
    <t>CARLOS CACERES</t>
  </si>
  <si>
    <t>Reemplazo Enero</t>
  </si>
  <si>
    <t>Reemplazo Vacaciones Encargado Pablo Caceres</t>
  </si>
  <si>
    <t>CAMILA AGUILA</t>
  </si>
  <si>
    <t>Reemplazo Vacaciones Waleska Aguila</t>
  </si>
  <si>
    <t>Internet y cable Loncura</t>
  </si>
  <si>
    <t>Saldo 50% Chapitas "Anejud en Alerta"</t>
  </si>
  <si>
    <t>ALFONSO PALACIOS</t>
  </si>
  <si>
    <t>Reembolso Gastos Medicos Juegos</t>
  </si>
  <si>
    <t>Envio Encomienda Chapitas</t>
  </si>
  <si>
    <t>JUAN ROJAS</t>
  </si>
  <si>
    <t>Mantencion Equipos de Oficina</t>
  </si>
  <si>
    <t>Pasaje Lilian Huanca Reunion Directorio Febrero</t>
  </si>
  <si>
    <t>Envio Despacho Chapitas a Regionales</t>
  </si>
  <si>
    <t>PEDRO CACERES VALLADARES</t>
  </si>
  <si>
    <t>Traslado Cajas Chapitas</t>
  </si>
  <si>
    <t>CONFUSAM</t>
  </si>
  <si>
    <t>Afiches</t>
  </si>
  <si>
    <t>Previred Imposiciones Reg. Talca</t>
  </si>
  <si>
    <t>MRIA VALERIA</t>
  </si>
  <si>
    <t>Caja Los Andes Imposiciones Reg. Talca</t>
  </si>
  <si>
    <t>Pasaje Lilian Huanca Reunion Dir. Y Consult. Marzo</t>
  </si>
  <si>
    <t>Pasaje Lilian Huanca Reunion Cmte Movilizacion</t>
  </si>
  <si>
    <t>Agua Manantial Oficina</t>
  </si>
  <si>
    <t>IRIS GALINDO</t>
  </si>
  <si>
    <t>Red alcantarillado Loncura</t>
  </si>
  <si>
    <t>Imposiciones Enero</t>
  </si>
  <si>
    <t>Febrero</t>
  </si>
  <si>
    <t>Retenciones e impto. Único Enero</t>
  </si>
  <si>
    <t>SANTIAGO, MARZO 2019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</si>
</sst>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 style="thin">
        <color indexed="16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3" xfId="0" applyNumberFormat="1" applyFont="1" applyFill="1" applyBorder="1" applyAlignment="1">
      <alignment/>
    </xf>
    <xf numFmtId="181" fontId="13" fillId="0" borderId="1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181" fontId="6" fillId="34" borderId="16" xfId="0" applyNumberFormat="1" applyFont="1" applyFill="1" applyBorder="1" applyAlignment="1">
      <alignment horizontal="right"/>
    </xf>
    <xf numFmtId="181" fontId="6" fillId="34" borderId="17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81" fontId="8" fillId="33" borderId="24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81" fontId="3" fillId="33" borderId="17" xfId="0" applyNumberFormat="1" applyFont="1" applyFill="1" applyBorder="1" applyAlignment="1">
      <alignment/>
    </xf>
    <xf numFmtId="16" fontId="2" fillId="0" borderId="2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81" fontId="4" fillId="0" borderId="32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6" fillId="34" borderId="31" xfId="0" applyNumberFormat="1" applyFont="1" applyFill="1" applyBorder="1" applyAlignment="1">
      <alignment horizontal="right"/>
    </xf>
    <xf numFmtId="0" fontId="6" fillId="34" borderId="3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181" fontId="2" fillId="0" borderId="38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81" fontId="3" fillId="0" borderId="38" xfId="0" applyNumberFormat="1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6"/>
  <sheetViews>
    <sheetView tabSelected="1" zoomScalePageLayoutView="0" workbookViewId="0" topLeftCell="A1">
      <pane ySplit="7" topLeftCell="A180" activePane="bottomLeft" state="frozen"/>
      <selection pane="topLeft" activeCell="A1" sqref="A1"/>
      <selection pane="bottomLeft" activeCell="J194" sqref="J194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34" t="s">
        <v>17</v>
      </c>
      <c r="C4" s="2"/>
      <c r="D4" s="2"/>
      <c r="E4" s="3"/>
      <c r="F4" s="4"/>
      <c r="G4" s="4"/>
    </row>
    <row r="5" spans="2:7" ht="14.25">
      <c r="B5" s="35" t="s">
        <v>168</v>
      </c>
      <c r="C5" s="10"/>
      <c r="D5" s="10"/>
      <c r="E5" s="3"/>
      <c r="F5" s="4"/>
      <c r="G5" s="4"/>
    </row>
    <row r="6" spans="4:7" ht="12.75" thickBot="1">
      <c r="D6" s="23"/>
      <c r="E6" s="36"/>
      <c r="F6" s="37" t="s">
        <v>30</v>
      </c>
      <c r="G6" s="36">
        <v>95167306</v>
      </c>
    </row>
    <row r="7" spans="2:7" ht="24" customHeight="1" thickBot="1">
      <c r="B7" s="41" t="s">
        <v>0</v>
      </c>
      <c r="C7" s="87" t="s">
        <v>35</v>
      </c>
      <c r="D7" s="41" t="s">
        <v>49</v>
      </c>
      <c r="E7" s="41"/>
      <c r="F7" s="41" t="s">
        <v>1</v>
      </c>
      <c r="G7" s="41" t="s">
        <v>2</v>
      </c>
    </row>
    <row r="8" spans="1:7" ht="12" outlineLevel="2">
      <c r="A8" s="5"/>
      <c r="B8" s="29" t="s">
        <v>3</v>
      </c>
      <c r="C8" s="88"/>
      <c r="D8" s="30"/>
      <c r="E8" s="24"/>
      <c r="F8" s="24"/>
      <c r="G8" s="24"/>
    </row>
    <row r="9" spans="1:7" ht="11.25" outlineLevel="2">
      <c r="A9" s="5"/>
      <c r="B9" s="30"/>
      <c r="C9" s="88"/>
      <c r="D9" s="30"/>
      <c r="E9" s="25"/>
      <c r="F9" s="38"/>
      <c r="G9" s="25"/>
    </row>
    <row r="10" spans="1:7" ht="15.75" customHeight="1" outlineLevel="2">
      <c r="A10" s="5"/>
      <c r="B10" s="31" t="s">
        <v>4</v>
      </c>
      <c r="C10" s="32"/>
      <c r="D10" s="46"/>
      <c r="E10" s="40"/>
      <c r="F10" s="39">
        <f>SUM(E11:E29)</f>
        <v>25357600</v>
      </c>
      <c r="G10" s="26"/>
    </row>
    <row r="11" spans="1:7" ht="15" customHeight="1" hidden="1" outlineLevel="2">
      <c r="A11" s="5"/>
      <c r="B11" s="27" t="s">
        <v>36</v>
      </c>
      <c r="C11" s="27">
        <f>88</f>
        <v>88</v>
      </c>
      <c r="D11" s="20"/>
      <c r="E11" s="28">
        <f>12720+471700</f>
        <v>484420</v>
      </c>
      <c r="F11" s="6"/>
      <c r="G11" s="26"/>
    </row>
    <row r="12" spans="1:7" ht="15" customHeight="1" hidden="1" outlineLevel="2">
      <c r="A12" s="5"/>
      <c r="B12" s="27" t="s">
        <v>31</v>
      </c>
      <c r="C12" s="27">
        <f>125+1</f>
        <v>126</v>
      </c>
      <c r="D12" s="20"/>
      <c r="E12" s="28">
        <v>657200</v>
      </c>
      <c r="F12" s="6"/>
      <c r="G12" s="26"/>
    </row>
    <row r="13" spans="1:7" ht="15" customHeight="1" hidden="1" outlineLevel="2">
      <c r="A13" s="5"/>
      <c r="B13" s="27" t="s">
        <v>34</v>
      </c>
      <c r="C13" s="27">
        <f>248</f>
        <v>248</v>
      </c>
      <c r="D13" s="20"/>
      <c r="E13" s="28">
        <v>1303800</v>
      </c>
      <c r="F13" s="6"/>
      <c r="G13" s="26"/>
    </row>
    <row r="14" spans="1:7" ht="15" customHeight="1" hidden="1" outlineLevel="2">
      <c r="A14" s="5"/>
      <c r="B14" s="27" t="s">
        <v>37</v>
      </c>
      <c r="C14" s="27">
        <f>1+151</f>
        <v>152</v>
      </c>
      <c r="D14" s="20"/>
      <c r="E14" s="28">
        <v>816200</v>
      </c>
      <c r="F14" s="6"/>
      <c r="G14" s="26"/>
    </row>
    <row r="15" spans="1:7" ht="15" customHeight="1" hidden="1" outlineLevel="2">
      <c r="A15" s="5"/>
      <c r="B15" s="27" t="s">
        <v>29</v>
      </c>
      <c r="C15" s="27">
        <f>1+189</f>
        <v>190</v>
      </c>
      <c r="D15" s="20"/>
      <c r="E15" s="28">
        <v>985800</v>
      </c>
      <c r="F15" s="6"/>
      <c r="G15" s="26"/>
    </row>
    <row r="16" spans="1:7" ht="15" customHeight="1" hidden="1" outlineLevel="2">
      <c r="A16" s="5"/>
      <c r="B16" s="27" t="s">
        <v>38</v>
      </c>
      <c r="C16" s="27">
        <f>1+1+494+1</f>
        <v>497</v>
      </c>
      <c r="D16" s="20"/>
      <c r="E16" s="28">
        <f>2120+2607600</f>
        <v>2609720</v>
      </c>
      <c r="F16" s="6"/>
      <c r="G16" s="26"/>
    </row>
    <row r="17" spans="1:7" ht="15" customHeight="1" hidden="1" outlineLevel="2">
      <c r="A17" s="5"/>
      <c r="B17" s="27" t="s">
        <v>39</v>
      </c>
      <c r="C17" s="27">
        <f>1+1+1+1+1+1+1+1+1+711+1+1</f>
        <v>722</v>
      </c>
      <c r="D17" s="20"/>
      <c r="E17" s="28">
        <f>4240+6360+2040+5300+2160+2120+14840+2040+12720+2040+3678200</f>
        <v>3732060</v>
      </c>
      <c r="F17" s="6"/>
      <c r="G17" s="26"/>
    </row>
    <row r="18" spans="1:7" ht="15" customHeight="1" hidden="1" outlineLevel="2">
      <c r="A18" s="5"/>
      <c r="B18" s="27" t="s">
        <v>40</v>
      </c>
      <c r="C18" s="27">
        <f>157</f>
        <v>157</v>
      </c>
      <c r="D18" s="20"/>
      <c r="E18" s="28">
        <v>800300</v>
      </c>
      <c r="F18" s="6"/>
      <c r="G18" s="26"/>
    </row>
    <row r="19" spans="1:7" ht="15" customHeight="1" hidden="1" outlineLevel="2">
      <c r="A19" s="5"/>
      <c r="B19" s="27" t="s">
        <v>27</v>
      </c>
      <c r="C19" s="27">
        <f>178</f>
        <v>178</v>
      </c>
      <c r="D19" s="20"/>
      <c r="E19" s="28">
        <v>932800</v>
      </c>
      <c r="F19" s="6"/>
      <c r="G19" s="26"/>
    </row>
    <row r="20" spans="1:7" ht="15" customHeight="1" hidden="1" outlineLevel="2">
      <c r="A20" s="5"/>
      <c r="B20" s="27" t="s">
        <v>41</v>
      </c>
      <c r="C20" s="27">
        <v>390</v>
      </c>
      <c r="D20" s="20"/>
      <c r="E20" s="28">
        <v>2088200</v>
      </c>
      <c r="F20" s="6"/>
      <c r="G20" s="26"/>
    </row>
    <row r="21" spans="1:7" ht="15" customHeight="1" hidden="1" outlineLevel="2">
      <c r="A21" s="5"/>
      <c r="B21" s="27" t="s">
        <v>42</v>
      </c>
      <c r="C21" s="27">
        <f>171+1</f>
        <v>172</v>
      </c>
      <c r="D21" s="20"/>
      <c r="E21" s="28">
        <f>2100+901000</f>
        <v>903100</v>
      </c>
      <c r="F21" s="6"/>
      <c r="G21" s="26"/>
    </row>
    <row r="22" spans="1:10" ht="15" customHeight="1" hidden="1" outlineLevel="2">
      <c r="A22" s="5"/>
      <c r="B22" s="27" t="s">
        <v>43</v>
      </c>
      <c r="C22" s="27">
        <f>1+338</f>
        <v>339</v>
      </c>
      <c r="D22" s="20"/>
      <c r="E22" s="28">
        <f>3000+3000+1786100</f>
        <v>1792100</v>
      </c>
      <c r="F22" s="6"/>
      <c r="G22" s="26"/>
      <c r="J22" s="1" t="s">
        <v>7</v>
      </c>
    </row>
    <row r="23" spans="1:7" ht="15" customHeight="1" hidden="1" outlineLevel="2">
      <c r="A23" s="5"/>
      <c r="B23" s="27" t="s">
        <v>26</v>
      </c>
      <c r="C23" s="27">
        <f>107</f>
        <v>107</v>
      </c>
      <c r="D23" s="20"/>
      <c r="E23" s="28">
        <f>5100+567100</f>
        <v>572200</v>
      </c>
      <c r="F23" s="6"/>
      <c r="G23" s="26"/>
    </row>
    <row r="24" spans="1:7" ht="15" customHeight="1" hidden="1" outlineLevel="2">
      <c r="A24" s="5"/>
      <c r="B24" s="27" t="s">
        <v>44</v>
      </c>
      <c r="C24" s="27">
        <f>1+1+1+1+476+1+1+1+1+1+1+1</f>
        <v>487</v>
      </c>
      <c r="D24" s="20"/>
      <c r="E24" s="28">
        <v>2501600</v>
      </c>
      <c r="F24" s="6"/>
      <c r="G24" s="26"/>
    </row>
    <row r="25" spans="1:7" ht="15" customHeight="1" hidden="1" outlineLevel="2">
      <c r="A25" s="5"/>
      <c r="B25" s="27" t="s">
        <v>32</v>
      </c>
      <c r="C25" s="27">
        <f>299+1</f>
        <v>300</v>
      </c>
      <c r="D25" s="20"/>
      <c r="E25" s="28">
        <f>5300+1611200</f>
        <v>1616500</v>
      </c>
      <c r="F25" s="6"/>
      <c r="G25" s="26"/>
    </row>
    <row r="26" spans="1:7" ht="15" customHeight="1" hidden="1" outlineLevel="2">
      <c r="A26" s="5"/>
      <c r="B26" s="27" t="s">
        <v>45</v>
      </c>
      <c r="C26" s="27">
        <v>231</v>
      </c>
      <c r="D26" s="20"/>
      <c r="E26" s="28">
        <v>1224300</v>
      </c>
      <c r="F26" s="6"/>
      <c r="G26" s="26"/>
    </row>
    <row r="27" spans="1:7" ht="15" customHeight="1" hidden="1" outlineLevel="2">
      <c r="A27" s="5"/>
      <c r="B27" s="27" t="s">
        <v>33</v>
      </c>
      <c r="C27" s="27">
        <v>201</v>
      </c>
      <c r="D27" s="20"/>
      <c r="E27" s="28">
        <v>1060000</v>
      </c>
      <c r="F27" s="6"/>
      <c r="G27" s="26"/>
    </row>
    <row r="28" spans="1:7" ht="15" customHeight="1" hidden="1" outlineLevel="2">
      <c r="A28" s="5"/>
      <c r="B28" s="27" t="s">
        <v>46</v>
      </c>
      <c r="C28" s="27">
        <v>128</v>
      </c>
      <c r="D28" s="20"/>
      <c r="E28" s="28">
        <v>683700</v>
      </c>
      <c r="F28" s="6"/>
      <c r="G28" s="26"/>
    </row>
    <row r="29" spans="1:7" ht="14.25" customHeight="1" hidden="1" outlineLevel="2">
      <c r="A29" s="5"/>
      <c r="B29" s="27" t="s">
        <v>47</v>
      </c>
      <c r="C29" s="27">
        <f>112+1</f>
        <v>113</v>
      </c>
      <c r="D29" s="20"/>
      <c r="E29" s="40">
        <v>593600</v>
      </c>
      <c r="F29" s="6"/>
      <c r="G29" s="26"/>
    </row>
    <row r="30" spans="1:7" ht="12" customHeight="1" outlineLevel="2">
      <c r="A30" s="44"/>
      <c r="B30" s="74"/>
      <c r="C30" s="5"/>
      <c r="D30" s="32"/>
      <c r="E30" s="40"/>
      <c r="F30" s="6"/>
      <c r="G30" s="26"/>
    </row>
    <row r="31" spans="1:7" ht="15" customHeight="1" outlineLevel="2">
      <c r="A31" s="44"/>
      <c r="B31" s="43" t="s">
        <v>5</v>
      </c>
      <c r="C31" s="11"/>
      <c r="D31" s="32"/>
      <c r="E31" s="28"/>
      <c r="F31" s="6"/>
      <c r="G31" s="26"/>
    </row>
    <row r="32" spans="1:8" ht="15" customHeight="1" outlineLevel="2">
      <c r="A32" s="5"/>
      <c r="B32" s="27" t="s">
        <v>70</v>
      </c>
      <c r="C32" s="27"/>
      <c r="D32" s="44" t="s">
        <v>96</v>
      </c>
      <c r="E32" s="28">
        <f>40000+40000+10000+10000+30000+206466</f>
        <v>336466</v>
      </c>
      <c r="F32" s="6"/>
      <c r="G32" s="26"/>
      <c r="H32" s="6"/>
    </row>
    <row r="33" spans="1:8" ht="15" customHeight="1" outlineLevel="2">
      <c r="A33" s="5"/>
      <c r="B33" s="27" t="s">
        <v>71</v>
      </c>
      <c r="C33" s="27"/>
      <c r="D33" s="44" t="s">
        <v>96</v>
      </c>
      <c r="E33" s="28">
        <f>20000+20000+40000+20000+20000+20000+30000+208000</f>
        <v>378000</v>
      </c>
      <c r="F33" s="6"/>
      <c r="G33" s="26"/>
      <c r="H33" s="6"/>
    </row>
    <row r="34" spans="1:8" ht="15" customHeight="1" outlineLevel="2">
      <c r="A34" s="5"/>
      <c r="B34" s="27" t="s">
        <v>39</v>
      </c>
      <c r="C34" s="27"/>
      <c r="D34" s="44" t="s">
        <v>167</v>
      </c>
      <c r="E34" s="28">
        <v>40000</v>
      </c>
      <c r="F34" s="6"/>
      <c r="G34" s="26"/>
      <c r="H34" s="6"/>
    </row>
    <row r="35" spans="1:8" ht="15" customHeight="1" outlineLevel="2">
      <c r="A35" s="5"/>
      <c r="B35" s="27" t="s">
        <v>43</v>
      </c>
      <c r="C35" s="27"/>
      <c r="D35" s="44" t="s">
        <v>245</v>
      </c>
      <c r="E35" s="28">
        <v>74880</v>
      </c>
      <c r="F35" s="6"/>
      <c r="G35" s="26"/>
      <c r="H35" s="6"/>
    </row>
    <row r="36" spans="1:8" ht="15" customHeight="1" outlineLevel="2">
      <c r="A36" s="5"/>
      <c r="B36" s="27" t="s">
        <v>243</v>
      </c>
      <c r="C36" s="27"/>
      <c r="D36" s="44" t="s">
        <v>244</v>
      </c>
      <c r="E36" s="28">
        <v>156415</v>
      </c>
      <c r="F36" s="6">
        <f>SUM(E32:E36)</f>
        <v>985761</v>
      </c>
      <c r="G36" s="26"/>
      <c r="H36" s="6"/>
    </row>
    <row r="37" spans="1:7" ht="15" customHeight="1" outlineLevel="2">
      <c r="A37" s="5"/>
      <c r="B37" s="27"/>
      <c r="C37" s="27"/>
      <c r="D37" s="44"/>
      <c r="E37" s="40"/>
      <c r="F37" s="6"/>
      <c r="G37" s="26"/>
    </row>
    <row r="38" spans="1:7" ht="15" customHeight="1" outlineLevel="2">
      <c r="A38" s="5" t="s">
        <v>7</v>
      </c>
      <c r="B38" s="31" t="s">
        <v>8</v>
      </c>
      <c r="C38" s="32"/>
      <c r="D38" s="46"/>
      <c r="E38" s="28"/>
      <c r="F38" s="6"/>
      <c r="G38" s="26"/>
    </row>
    <row r="39" spans="1:7" ht="15" customHeight="1" outlineLevel="2">
      <c r="A39" s="5"/>
      <c r="B39" s="27" t="s">
        <v>166</v>
      </c>
      <c r="C39" s="32"/>
      <c r="D39" s="44" t="s">
        <v>97</v>
      </c>
      <c r="E39" s="28">
        <f>105000+77500</f>
        <v>182500</v>
      </c>
      <c r="F39" s="6"/>
      <c r="G39" s="26"/>
    </row>
    <row r="40" spans="1:8" ht="15" customHeight="1" outlineLevel="2">
      <c r="A40" s="5"/>
      <c r="B40" s="27" t="s">
        <v>53</v>
      </c>
      <c r="C40" s="32"/>
      <c r="D40" s="44" t="s">
        <v>97</v>
      </c>
      <c r="E40" s="28">
        <f>150000+42000+52500+42000+33000+25000+685800</f>
        <v>1030300</v>
      </c>
      <c r="F40" s="6"/>
      <c r="G40" s="27"/>
      <c r="H40" s="6"/>
    </row>
    <row r="41" spans="1:8" ht="15" customHeight="1" outlineLevel="2">
      <c r="A41" s="5"/>
      <c r="B41" s="27" t="s">
        <v>9</v>
      </c>
      <c r="C41" s="27"/>
      <c r="D41" s="44" t="s">
        <v>129</v>
      </c>
      <c r="E41" s="28">
        <f>694860+106700+34000+15000+21180+54800+59800+376100+46200+708060+107200+68300+81400+550700+62900+6400+57200</f>
        <v>3050800</v>
      </c>
      <c r="F41" s="6"/>
      <c r="G41" s="27"/>
      <c r="H41" s="6"/>
    </row>
    <row r="42" spans="1:10" ht="15" customHeight="1" outlineLevel="2" thickBot="1">
      <c r="A42" s="5"/>
      <c r="B42" s="76" t="s">
        <v>9</v>
      </c>
      <c r="C42" s="32"/>
      <c r="D42" s="76" t="s">
        <v>97</v>
      </c>
      <c r="E42" s="94">
        <f>182250+60750+919060+74550+369260+167000+254000+283500+81000+81000+300000+608300+212625+202500+248850+274800+150080+206600+40500+55687+108000+119625+384750+30375+96000+65250+96000+41589+77333+140000+94500+239190+94500+68430+70875+5900+160000+1979539</f>
        <v>8644168</v>
      </c>
      <c r="F42" s="78">
        <f>SUM(E39:E42)</f>
        <v>12907768</v>
      </c>
      <c r="G42" s="78"/>
      <c r="H42" s="79"/>
      <c r="I42" s="5"/>
      <c r="J42" s="3"/>
    </row>
    <row r="43" spans="1:7" ht="12" outlineLevel="2">
      <c r="A43" s="5"/>
      <c r="B43" s="42" t="s">
        <v>10</v>
      </c>
      <c r="C43" s="27"/>
      <c r="D43" s="44"/>
      <c r="E43" s="27"/>
      <c r="F43" s="6"/>
      <c r="G43" s="26"/>
    </row>
    <row r="44" spans="1:7" ht="15" customHeight="1" outlineLevel="2">
      <c r="A44" s="5"/>
      <c r="B44" s="31" t="s">
        <v>11</v>
      </c>
      <c r="C44" s="27"/>
      <c r="D44" s="46"/>
      <c r="E44" s="28"/>
      <c r="F44" s="6"/>
      <c r="G44" s="26"/>
    </row>
    <row r="45" spans="1:7" ht="14.25" customHeight="1" outlineLevel="2">
      <c r="A45" s="5"/>
      <c r="B45" s="27" t="s">
        <v>72</v>
      </c>
      <c r="C45" s="27"/>
      <c r="D45" s="44" t="s">
        <v>92</v>
      </c>
      <c r="E45" s="28">
        <v>86000</v>
      </c>
      <c r="F45" s="6"/>
      <c r="G45" s="26"/>
    </row>
    <row r="46" spans="1:7" ht="14.25" customHeight="1" outlineLevel="2">
      <c r="A46" s="5"/>
      <c r="B46" s="27" t="s">
        <v>75</v>
      </c>
      <c r="C46" s="27"/>
      <c r="D46" s="44" t="s">
        <v>242</v>
      </c>
      <c r="E46" s="28">
        <f>11054+6400</f>
        <v>17454</v>
      </c>
      <c r="F46" s="6"/>
      <c r="G46" s="26"/>
    </row>
    <row r="47" spans="1:7" ht="14.25" customHeight="1" outlineLevel="2">
      <c r="A47" s="5"/>
      <c r="B47" s="27" t="s">
        <v>229</v>
      </c>
      <c r="C47" s="27"/>
      <c r="D47" s="44" t="s">
        <v>230</v>
      </c>
      <c r="E47" s="28">
        <v>100000</v>
      </c>
      <c r="F47" s="6"/>
      <c r="G47" s="26"/>
    </row>
    <row r="48" spans="1:7" ht="14.25" customHeight="1" outlineLevel="2">
      <c r="A48" s="5"/>
      <c r="B48" s="27" t="s">
        <v>124</v>
      </c>
      <c r="C48" s="27"/>
      <c r="D48" s="44" t="s">
        <v>237</v>
      </c>
      <c r="E48" s="28">
        <v>87120</v>
      </c>
      <c r="F48" s="6"/>
      <c r="G48" s="26"/>
    </row>
    <row r="49" spans="1:7" ht="14.25" customHeight="1" outlineLevel="2">
      <c r="A49" s="5"/>
      <c r="B49" s="27" t="s">
        <v>238</v>
      </c>
      <c r="C49" s="27"/>
      <c r="D49" s="44" t="s">
        <v>239</v>
      </c>
      <c r="E49" s="28">
        <v>8624</v>
      </c>
      <c r="F49" s="6"/>
      <c r="G49" s="26"/>
    </row>
    <row r="50" spans="1:7" ht="14.25" customHeight="1" outlineLevel="2">
      <c r="A50" s="5"/>
      <c r="B50" s="27" t="s">
        <v>125</v>
      </c>
      <c r="C50" s="27"/>
      <c r="D50" s="44" t="s">
        <v>126</v>
      </c>
      <c r="E50" s="28">
        <f>40476</f>
        <v>40476</v>
      </c>
      <c r="F50" s="6"/>
      <c r="G50" s="26"/>
    </row>
    <row r="51" spans="1:7" ht="15" customHeight="1" outlineLevel="2">
      <c r="A51" s="5"/>
      <c r="B51" s="27" t="s">
        <v>18</v>
      </c>
      <c r="C51" s="27"/>
      <c r="D51" s="44" t="s">
        <v>63</v>
      </c>
      <c r="E51" s="28">
        <v>69578</v>
      </c>
      <c r="F51" s="6"/>
      <c r="G51" s="26"/>
    </row>
    <row r="52" spans="1:7" ht="15" customHeight="1" outlineLevel="2">
      <c r="A52" s="5"/>
      <c r="B52" s="27" t="s">
        <v>90</v>
      </c>
      <c r="C52" s="27"/>
      <c r="D52" s="44" t="s">
        <v>77</v>
      </c>
      <c r="E52" s="28">
        <v>127318</v>
      </c>
      <c r="F52" s="6"/>
      <c r="G52" s="26"/>
    </row>
    <row r="53" spans="1:7" ht="15" customHeight="1" outlineLevel="2">
      <c r="A53" s="5"/>
      <c r="B53" s="27" t="s">
        <v>25</v>
      </c>
      <c r="C53" s="27"/>
      <c r="D53" s="44" t="s">
        <v>94</v>
      </c>
      <c r="E53" s="28">
        <v>28734</v>
      </c>
      <c r="F53" s="6"/>
      <c r="G53" s="26"/>
    </row>
    <row r="54" spans="1:7" ht="15" customHeight="1" outlineLevel="2">
      <c r="A54" s="5"/>
      <c r="B54" s="27" t="s">
        <v>25</v>
      </c>
      <c r="C54" s="27"/>
      <c r="D54" s="44" t="s">
        <v>61</v>
      </c>
      <c r="E54" s="40">
        <v>96188</v>
      </c>
      <c r="F54" s="6"/>
      <c r="G54" s="26">
        <f>SUM(E45:E54)</f>
        <v>661492</v>
      </c>
    </row>
    <row r="55" spans="1:7" ht="15" customHeight="1" outlineLevel="2">
      <c r="A55" s="5"/>
      <c r="B55" s="27"/>
      <c r="C55" s="27"/>
      <c r="D55" s="44"/>
      <c r="E55" s="40"/>
      <c r="F55" s="6"/>
      <c r="G55" s="26"/>
    </row>
    <row r="56" spans="1:7" ht="15" customHeight="1" outlineLevel="2">
      <c r="A56" s="5"/>
      <c r="B56" s="31" t="s">
        <v>8</v>
      </c>
      <c r="C56" s="27"/>
      <c r="D56" s="46"/>
      <c r="E56" s="28"/>
      <c r="F56" s="6"/>
      <c r="G56" s="26"/>
    </row>
    <row r="57" spans="1:7" ht="14.25" customHeight="1" outlineLevel="2">
      <c r="A57" s="5"/>
      <c r="B57" s="27" t="s">
        <v>115</v>
      </c>
      <c r="C57" s="27"/>
      <c r="D57" s="44" t="s">
        <v>183</v>
      </c>
      <c r="E57" s="28">
        <v>86060</v>
      </c>
      <c r="F57" s="6"/>
      <c r="G57" s="26"/>
    </row>
    <row r="58" spans="1:7" ht="14.25" customHeight="1" outlineLevel="2">
      <c r="A58" s="5"/>
      <c r="B58" s="27" t="s">
        <v>115</v>
      </c>
      <c r="C58" s="27"/>
      <c r="D58" s="44" t="s">
        <v>184</v>
      </c>
      <c r="E58" s="28">
        <v>35960</v>
      </c>
      <c r="F58" s="6"/>
      <c r="G58" s="26"/>
    </row>
    <row r="59" spans="1:7" ht="14.25" customHeight="1" outlineLevel="2">
      <c r="A59" s="5"/>
      <c r="B59" s="27" t="s">
        <v>115</v>
      </c>
      <c r="C59" s="27"/>
      <c r="D59" s="44" t="s">
        <v>185</v>
      </c>
      <c r="E59" s="28">
        <v>157500</v>
      </c>
      <c r="F59" s="6"/>
      <c r="G59" s="26"/>
    </row>
    <row r="60" spans="1:7" ht="14.25" customHeight="1" outlineLevel="2">
      <c r="A60" s="5"/>
      <c r="B60" s="27" t="s">
        <v>115</v>
      </c>
      <c r="C60" s="27"/>
      <c r="D60" s="44" t="s">
        <v>186</v>
      </c>
      <c r="E60" s="28">
        <v>135000</v>
      </c>
      <c r="F60" s="6"/>
      <c r="G60" s="26"/>
    </row>
    <row r="61" spans="1:7" ht="14.25" customHeight="1" outlineLevel="2">
      <c r="A61" s="5"/>
      <c r="B61" s="27" t="s">
        <v>115</v>
      </c>
      <c r="C61" s="27"/>
      <c r="D61" s="44" t="s">
        <v>187</v>
      </c>
      <c r="E61" s="28">
        <v>18000</v>
      </c>
      <c r="F61" s="6"/>
      <c r="G61" s="26"/>
    </row>
    <row r="62" spans="1:7" ht="14.25" customHeight="1" outlineLevel="2">
      <c r="A62" s="5"/>
      <c r="B62" s="27" t="s">
        <v>214</v>
      </c>
      <c r="C62" s="27"/>
      <c r="D62" s="44" t="s">
        <v>215</v>
      </c>
      <c r="E62" s="28">
        <v>30000</v>
      </c>
      <c r="F62" s="6"/>
      <c r="G62" s="26"/>
    </row>
    <row r="63" spans="1:7" ht="14.25" customHeight="1" outlineLevel="2">
      <c r="A63" s="5"/>
      <c r="B63" s="27" t="s">
        <v>191</v>
      </c>
      <c r="C63" s="27"/>
      <c r="D63" s="44" t="s">
        <v>192</v>
      </c>
      <c r="E63" s="28">
        <f>480000+29199</f>
        <v>509199</v>
      </c>
      <c r="F63" s="6"/>
      <c r="G63" s="26"/>
    </row>
    <row r="64" spans="1:7" ht="14.25" customHeight="1" outlineLevel="2">
      <c r="A64" s="5"/>
      <c r="B64" s="27" t="s">
        <v>158</v>
      </c>
      <c r="C64" s="27"/>
      <c r="D64" s="44" t="s">
        <v>190</v>
      </c>
      <c r="E64" s="28">
        <v>126919</v>
      </c>
      <c r="F64" s="6"/>
      <c r="G64" s="26"/>
    </row>
    <row r="65" spans="1:7" ht="14.25" customHeight="1" outlineLevel="2">
      <c r="A65" s="5"/>
      <c r="B65" s="27" t="s">
        <v>118</v>
      </c>
      <c r="C65" s="27"/>
      <c r="D65" s="44" t="s">
        <v>119</v>
      </c>
      <c r="E65" s="28">
        <f>174239+524152+51465+381590+257681</f>
        <v>1389127</v>
      </c>
      <c r="F65" s="6"/>
      <c r="G65" s="26"/>
    </row>
    <row r="66" spans="1:7" ht="14.25" customHeight="1" outlineLevel="2">
      <c r="A66" s="5"/>
      <c r="B66" s="27" t="s">
        <v>154</v>
      </c>
      <c r="C66" s="27"/>
      <c r="D66" s="44" t="s">
        <v>155</v>
      </c>
      <c r="E66" s="28">
        <v>1208641</v>
      </c>
      <c r="F66" s="6"/>
      <c r="G66" s="26"/>
    </row>
    <row r="67" spans="1:7" ht="14.25" customHeight="1" outlineLevel="2">
      <c r="A67" s="5"/>
      <c r="B67" s="27" t="s">
        <v>136</v>
      </c>
      <c r="C67" s="27"/>
      <c r="D67" s="44" t="s">
        <v>137</v>
      </c>
      <c r="E67" s="28">
        <f>62400+97600+107800+133900+159201+141600</f>
        <v>702501</v>
      </c>
      <c r="F67" s="6"/>
      <c r="G67" s="26"/>
    </row>
    <row r="68" spans="1:7" ht="14.25" customHeight="1" outlineLevel="2">
      <c r="A68" s="5"/>
      <c r="B68" s="27" t="s">
        <v>75</v>
      </c>
      <c r="C68" s="27"/>
      <c r="D68" s="44" t="s">
        <v>135</v>
      </c>
      <c r="E68" s="28">
        <v>72000</v>
      </c>
      <c r="F68" s="6"/>
      <c r="G68" s="26"/>
    </row>
    <row r="69" spans="1:7" ht="14.25" customHeight="1" outlineLevel="2">
      <c r="A69" s="5"/>
      <c r="B69" s="27" t="s">
        <v>130</v>
      </c>
      <c r="C69" s="27"/>
      <c r="D69" s="44" t="s">
        <v>195</v>
      </c>
      <c r="E69" s="28">
        <v>119000</v>
      </c>
      <c r="F69" s="6"/>
      <c r="G69" s="26"/>
    </row>
    <row r="70" spans="1:7" ht="14.25" customHeight="1" outlineLevel="2">
      <c r="A70" s="5"/>
      <c r="B70" s="27" t="s">
        <v>127</v>
      </c>
      <c r="C70" s="27"/>
      <c r="D70" s="44" t="s">
        <v>128</v>
      </c>
      <c r="E70" s="28">
        <f>208250+173740</f>
        <v>381990</v>
      </c>
      <c r="F70" s="6"/>
      <c r="G70" s="26"/>
    </row>
    <row r="71" spans="1:7" ht="14.25" customHeight="1" outlineLevel="2">
      <c r="A71" s="5"/>
      <c r="B71" s="27" t="s">
        <v>140</v>
      </c>
      <c r="C71" s="27"/>
      <c r="D71" s="44" t="s">
        <v>141</v>
      </c>
      <c r="E71" s="28">
        <v>23000</v>
      </c>
      <c r="F71" s="6"/>
      <c r="G71" s="26"/>
    </row>
    <row r="72" spans="1:7" ht="14.25" customHeight="1" outlineLevel="2">
      <c r="A72" s="5"/>
      <c r="B72" s="27" t="s">
        <v>142</v>
      </c>
      <c r="C72" s="27"/>
      <c r="D72" s="44" t="s">
        <v>143</v>
      </c>
      <c r="E72" s="28">
        <f>292500+97700+45300+354900+98300+186100</f>
        <v>1074800</v>
      </c>
      <c r="F72" s="6"/>
      <c r="G72" s="26"/>
    </row>
    <row r="73" spans="1:7" ht="14.25" customHeight="1" outlineLevel="2">
      <c r="A73" s="5"/>
      <c r="B73" s="27" t="s">
        <v>117</v>
      </c>
      <c r="C73" s="27"/>
      <c r="D73" s="44" t="s">
        <v>172</v>
      </c>
      <c r="E73" s="28">
        <f>387213+496213</f>
        <v>883426</v>
      </c>
      <c r="F73" s="6"/>
      <c r="G73" s="26"/>
    </row>
    <row r="74" spans="1:7" ht="14.25" customHeight="1" outlineLevel="2">
      <c r="A74" s="5"/>
      <c r="B74" s="27" t="s">
        <v>117</v>
      </c>
      <c r="C74" s="27"/>
      <c r="D74" s="44" t="s">
        <v>144</v>
      </c>
      <c r="E74" s="28">
        <f>389779+449923</f>
        <v>839702</v>
      </c>
      <c r="F74" s="6"/>
      <c r="G74" s="26"/>
    </row>
    <row r="75" spans="1:7" ht="14.25" customHeight="1" outlineLevel="2">
      <c r="A75" s="5"/>
      <c r="B75" s="27" t="s">
        <v>117</v>
      </c>
      <c r="C75" s="27"/>
      <c r="D75" s="44" t="s">
        <v>148</v>
      </c>
      <c r="E75" s="28">
        <f>119000+187600+181300</f>
        <v>487900</v>
      </c>
      <c r="F75" s="6"/>
      <c r="G75" s="26"/>
    </row>
    <row r="76" spans="1:7" ht="14.25" customHeight="1" outlineLevel="2">
      <c r="A76" s="5"/>
      <c r="B76" s="27" t="s">
        <v>117</v>
      </c>
      <c r="C76" s="27"/>
      <c r="D76" s="44" t="s">
        <v>173</v>
      </c>
      <c r="E76" s="28">
        <v>292000</v>
      </c>
      <c r="F76" s="6"/>
      <c r="G76" s="26"/>
    </row>
    <row r="77" spans="1:7" ht="14.25" customHeight="1" outlineLevel="2" thickBot="1">
      <c r="A77" s="5"/>
      <c r="B77" s="76" t="s">
        <v>117</v>
      </c>
      <c r="C77" s="76"/>
      <c r="D77" s="90" t="s">
        <v>174</v>
      </c>
      <c r="E77" s="91">
        <f>35720+41390</f>
        <v>77110</v>
      </c>
      <c r="F77" s="92"/>
      <c r="G77" s="78"/>
    </row>
    <row r="78" spans="1:7" ht="14.25" customHeight="1" outlineLevel="2">
      <c r="A78" s="5"/>
      <c r="B78" s="27" t="s">
        <v>117</v>
      </c>
      <c r="C78" s="27"/>
      <c r="D78" s="44" t="s">
        <v>175</v>
      </c>
      <c r="E78" s="28">
        <f>58870+40141</f>
        <v>99011</v>
      </c>
      <c r="F78" s="6"/>
      <c r="G78" s="26"/>
    </row>
    <row r="79" spans="1:7" ht="14.25" customHeight="1" outlineLevel="2">
      <c r="A79" s="5"/>
      <c r="B79" s="27" t="s">
        <v>85</v>
      </c>
      <c r="C79" s="27"/>
      <c r="D79" s="44" t="s">
        <v>146</v>
      </c>
      <c r="E79" s="28">
        <f>515171+186395</f>
        <v>701566</v>
      </c>
      <c r="F79" s="6"/>
      <c r="G79" s="26"/>
    </row>
    <row r="80" spans="1:7" ht="15" customHeight="1" outlineLevel="2">
      <c r="A80" s="5"/>
      <c r="B80" s="27" t="s">
        <v>103</v>
      </c>
      <c r="C80" s="27"/>
      <c r="D80" s="44" t="s">
        <v>161</v>
      </c>
      <c r="E80" s="28">
        <v>250000</v>
      </c>
      <c r="F80" s="6"/>
      <c r="G80" s="26"/>
    </row>
    <row r="81" spans="1:7" ht="15" customHeight="1" outlineLevel="2">
      <c r="A81" s="5"/>
      <c r="B81" s="27" t="s">
        <v>133</v>
      </c>
      <c r="C81" s="27"/>
      <c r="D81" s="44" t="s">
        <v>182</v>
      </c>
      <c r="E81" s="28">
        <v>1018000</v>
      </c>
      <c r="F81" s="6"/>
      <c r="G81" s="26"/>
    </row>
    <row r="82" spans="1:7" ht="15" customHeight="1" outlineLevel="2">
      <c r="A82" s="5"/>
      <c r="B82" s="27" t="s">
        <v>156</v>
      </c>
      <c r="C82" s="27"/>
      <c r="D82" s="44" t="s">
        <v>157</v>
      </c>
      <c r="E82" s="28">
        <v>222000</v>
      </c>
      <c r="F82" s="6"/>
      <c r="G82" s="26"/>
    </row>
    <row r="83" spans="1:7" ht="15" customHeight="1" outlineLevel="2">
      <c r="A83" s="5"/>
      <c r="B83" s="27" t="s">
        <v>165</v>
      </c>
      <c r="C83" s="27"/>
      <c r="D83" s="44" t="s">
        <v>181</v>
      </c>
      <c r="E83" s="28">
        <f>462000+62000</f>
        <v>524000</v>
      </c>
      <c r="F83" s="6"/>
      <c r="G83" s="26"/>
    </row>
    <row r="84" spans="1:7" ht="15" customHeight="1" outlineLevel="2">
      <c r="A84" s="5"/>
      <c r="B84" s="27" t="s">
        <v>120</v>
      </c>
      <c r="C84" s="27"/>
      <c r="D84" s="44" t="s">
        <v>181</v>
      </c>
      <c r="E84" s="28">
        <v>775000</v>
      </c>
      <c r="F84" s="6"/>
      <c r="G84" s="26"/>
    </row>
    <row r="85" spans="1:7" ht="15" customHeight="1" outlineLevel="2">
      <c r="A85" s="5"/>
      <c r="B85" s="27" t="s">
        <v>132</v>
      </c>
      <c r="C85" s="27"/>
      <c r="D85" s="44" t="s">
        <v>131</v>
      </c>
      <c r="E85" s="28">
        <v>155000</v>
      </c>
      <c r="F85" s="6"/>
      <c r="G85" s="26"/>
    </row>
    <row r="86" spans="1:7" ht="15" customHeight="1" outlineLevel="2">
      <c r="A86" s="5"/>
      <c r="B86" s="27" t="s">
        <v>176</v>
      </c>
      <c r="C86" s="27"/>
      <c r="D86" s="44" t="s">
        <v>177</v>
      </c>
      <c r="E86" s="28">
        <v>18000</v>
      </c>
      <c r="F86" s="6"/>
      <c r="G86" s="26"/>
    </row>
    <row r="87" spans="1:7" ht="15" customHeight="1" outlineLevel="2">
      <c r="A87" s="5"/>
      <c r="B87" s="27" t="s">
        <v>178</v>
      </c>
      <c r="C87" s="27"/>
      <c r="D87" s="44" t="s">
        <v>179</v>
      </c>
      <c r="E87" s="28">
        <v>1417500</v>
      </c>
      <c r="F87" s="6"/>
      <c r="G87" s="26"/>
    </row>
    <row r="88" spans="1:7" ht="15" customHeight="1" outlineLevel="2">
      <c r="A88" s="5"/>
      <c r="B88" s="27" t="s">
        <v>180</v>
      </c>
      <c r="C88" s="27"/>
      <c r="D88" s="44" t="s">
        <v>179</v>
      </c>
      <c r="E88" s="28">
        <v>787500</v>
      </c>
      <c r="F88" s="6"/>
      <c r="G88" s="26"/>
    </row>
    <row r="89" spans="1:7" ht="15" customHeight="1" outlineLevel="2">
      <c r="A89" s="5"/>
      <c r="B89" s="27" t="s">
        <v>121</v>
      </c>
      <c r="C89" s="27"/>
      <c r="D89" s="44" t="s">
        <v>122</v>
      </c>
      <c r="E89" s="28">
        <f>61500+82000+102500</f>
        <v>246000</v>
      </c>
      <c r="F89" s="6"/>
      <c r="G89" s="26"/>
    </row>
    <row r="90" spans="1:7" ht="15" customHeight="1" outlineLevel="2">
      <c r="A90" s="5"/>
      <c r="B90" s="27" t="s">
        <v>113</v>
      </c>
      <c r="C90" s="27"/>
      <c r="D90" s="44" t="s">
        <v>114</v>
      </c>
      <c r="E90" s="28">
        <v>140777</v>
      </c>
      <c r="F90" s="6"/>
      <c r="G90" s="26"/>
    </row>
    <row r="91" spans="1:7" ht="15" customHeight="1" outlineLevel="2">
      <c r="A91" s="5"/>
      <c r="B91" s="27" t="s">
        <v>87</v>
      </c>
      <c r="C91" s="27"/>
      <c r="D91" s="44" t="s">
        <v>162</v>
      </c>
      <c r="E91" s="28">
        <v>150000</v>
      </c>
      <c r="F91" s="6"/>
      <c r="G91" s="26"/>
    </row>
    <row r="92" spans="1:7" ht="15" customHeight="1" outlineLevel="2">
      <c r="A92" s="5"/>
      <c r="B92" s="27" t="s">
        <v>76</v>
      </c>
      <c r="C92" s="27"/>
      <c r="D92" s="44" t="s">
        <v>164</v>
      </c>
      <c r="E92" s="28">
        <v>25000</v>
      </c>
      <c r="F92" s="6"/>
      <c r="G92" s="26"/>
    </row>
    <row r="93" spans="1:7" ht="15" customHeight="1" outlineLevel="2">
      <c r="A93" s="5"/>
      <c r="B93" s="27" t="s">
        <v>69</v>
      </c>
      <c r="C93" s="27"/>
      <c r="D93" s="44" t="s">
        <v>93</v>
      </c>
      <c r="E93" s="28">
        <f>11800+83300</f>
        <v>95100</v>
      </c>
      <c r="F93" s="6"/>
      <c r="G93" s="26"/>
    </row>
    <row r="94" spans="1:7" ht="15" customHeight="1" outlineLevel="2">
      <c r="A94" s="5"/>
      <c r="B94" s="27" t="s">
        <v>112</v>
      </c>
      <c r="C94" s="27"/>
      <c r="D94" s="44" t="s">
        <v>224</v>
      </c>
      <c r="E94" s="28">
        <f>49460+17090</f>
        <v>66550</v>
      </c>
      <c r="F94" s="6"/>
      <c r="G94" s="26"/>
    </row>
    <row r="95" spans="1:9" ht="15" customHeight="1" outlineLevel="2">
      <c r="A95" s="5"/>
      <c r="B95" s="27" t="s">
        <v>50</v>
      </c>
      <c r="C95" s="32"/>
      <c r="D95" s="44" t="s">
        <v>62</v>
      </c>
      <c r="E95" s="40">
        <v>577038</v>
      </c>
      <c r="F95" s="6"/>
      <c r="G95" s="26">
        <f>SUM(E57:E95)</f>
        <v>15917877</v>
      </c>
      <c r="I95" s="3"/>
    </row>
    <row r="96" spans="1:7" ht="15" customHeight="1" outlineLevel="2">
      <c r="A96" s="5"/>
      <c r="B96" s="27"/>
      <c r="C96" s="27"/>
      <c r="D96" s="44"/>
      <c r="E96" s="40"/>
      <c r="F96" s="6"/>
      <c r="G96" s="26"/>
    </row>
    <row r="97" spans="1:7" ht="15" customHeight="1" outlineLevel="2">
      <c r="A97" s="5"/>
      <c r="B97" s="31" t="s">
        <v>19</v>
      </c>
      <c r="C97" s="27"/>
      <c r="D97" s="44"/>
      <c r="E97" s="28"/>
      <c r="F97" s="6"/>
      <c r="G97" s="26"/>
    </row>
    <row r="98" spans="1:7" ht="15" customHeight="1" outlineLevel="2">
      <c r="A98" s="5"/>
      <c r="B98" s="27" t="s">
        <v>24</v>
      </c>
      <c r="C98" s="44"/>
      <c r="D98" s="44" t="s">
        <v>247</v>
      </c>
      <c r="E98" s="40">
        <v>981388</v>
      </c>
      <c r="F98" s="6"/>
      <c r="G98" s="26">
        <f>SUM(E98:F98)</f>
        <v>981388</v>
      </c>
    </row>
    <row r="99" spans="1:7" ht="15" customHeight="1" outlineLevel="2">
      <c r="A99" s="5"/>
      <c r="B99" s="27"/>
      <c r="C99" s="27"/>
      <c r="D99" s="44"/>
      <c r="E99" s="40"/>
      <c r="F99" s="6"/>
      <c r="G99" s="26"/>
    </row>
    <row r="100" spans="1:7" ht="15" customHeight="1" outlineLevel="2">
      <c r="A100" s="5"/>
      <c r="B100" s="31" t="s">
        <v>67</v>
      </c>
      <c r="C100" s="44"/>
      <c r="D100" s="44"/>
      <c r="E100" s="40"/>
      <c r="F100" s="6"/>
      <c r="G100" s="26"/>
    </row>
    <row r="101" spans="1:7" ht="15" customHeight="1" outlineLevel="2">
      <c r="A101" s="5"/>
      <c r="B101" s="27" t="s">
        <v>89</v>
      </c>
      <c r="C101" s="44"/>
      <c r="D101" s="44" t="s">
        <v>213</v>
      </c>
      <c r="E101" s="28">
        <v>900000</v>
      </c>
      <c r="F101" s="6"/>
      <c r="G101" s="26">
        <f>E101</f>
        <v>900000</v>
      </c>
    </row>
    <row r="102" spans="1:7" ht="15" customHeight="1" outlineLevel="2">
      <c r="A102" s="81"/>
      <c r="B102" s="44"/>
      <c r="C102" s="44"/>
      <c r="D102" s="44"/>
      <c r="E102" s="40"/>
      <c r="F102" s="80"/>
      <c r="G102" s="45"/>
    </row>
    <row r="103" spans="1:7" ht="15" customHeight="1" outlineLevel="2">
      <c r="A103" s="81"/>
      <c r="B103" s="43" t="s">
        <v>20</v>
      </c>
      <c r="C103" s="44"/>
      <c r="D103" s="44"/>
      <c r="E103" s="28"/>
      <c r="F103" s="80"/>
      <c r="G103" s="45"/>
    </row>
    <row r="104" spans="1:7" ht="15" customHeight="1" outlineLevel="2">
      <c r="A104" s="5"/>
      <c r="B104" s="31" t="s">
        <v>21</v>
      </c>
      <c r="C104" s="44"/>
      <c r="D104" s="44"/>
      <c r="E104" s="28"/>
      <c r="F104" s="6"/>
      <c r="G104" s="26"/>
    </row>
    <row r="105" spans="1:7" ht="15" customHeight="1" outlineLevel="2">
      <c r="A105" s="5"/>
      <c r="B105" s="27" t="s">
        <v>111</v>
      </c>
      <c r="C105" s="44"/>
      <c r="D105" s="44" t="s">
        <v>197</v>
      </c>
      <c r="E105" s="28">
        <v>56748</v>
      </c>
      <c r="F105" s="6"/>
      <c r="G105" s="26"/>
    </row>
    <row r="106" spans="1:7" ht="15" customHeight="1" outlineLevel="2">
      <c r="A106" s="5"/>
      <c r="B106" s="27" t="s">
        <v>105</v>
      </c>
      <c r="C106" s="44"/>
      <c r="D106" s="44" t="s">
        <v>153</v>
      </c>
      <c r="E106" s="28">
        <v>24450</v>
      </c>
      <c r="F106" s="6"/>
      <c r="G106" s="26"/>
    </row>
    <row r="107" spans="1:7" ht="15" customHeight="1" outlineLevel="2">
      <c r="A107" s="5"/>
      <c r="B107" s="27" t="s">
        <v>101</v>
      </c>
      <c r="C107" s="44"/>
      <c r="D107" s="44" t="s">
        <v>206</v>
      </c>
      <c r="E107" s="28">
        <v>49400</v>
      </c>
      <c r="F107" s="6"/>
      <c r="G107" s="26"/>
    </row>
    <row r="108" spans="1:7" ht="15" customHeight="1" outlineLevel="2">
      <c r="A108" s="5"/>
      <c r="B108" s="27" t="s">
        <v>100</v>
      </c>
      <c r="C108" s="44"/>
      <c r="D108" s="44" t="s">
        <v>196</v>
      </c>
      <c r="E108" s="28">
        <v>15440</v>
      </c>
      <c r="F108" s="6"/>
      <c r="G108" s="26"/>
    </row>
    <row r="109" spans="1:7" ht="15" customHeight="1" outlineLevel="2">
      <c r="A109" s="5"/>
      <c r="B109" s="32" t="s">
        <v>22</v>
      </c>
      <c r="C109" s="44"/>
      <c r="D109" s="44"/>
      <c r="E109" s="28"/>
      <c r="F109" s="6"/>
      <c r="G109" s="26"/>
    </row>
    <row r="110" spans="1:7" ht="15" customHeight="1" outlineLevel="2" thickBot="1">
      <c r="A110" s="5"/>
      <c r="B110" s="76" t="s">
        <v>68</v>
      </c>
      <c r="C110" s="90"/>
      <c r="D110" s="90" t="s">
        <v>203</v>
      </c>
      <c r="E110" s="91">
        <v>14930</v>
      </c>
      <c r="F110" s="92"/>
      <c r="G110" s="78"/>
    </row>
    <row r="111" spans="1:7" ht="15" customHeight="1" outlineLevel="2">
      <c r="A111" s="5"/>
      <c r="B111" s="27" t="s">
        <v>68</v>
      </c>
      <c r="C111" s="44"/>
      <c r="D111" s="44" t="s">
        <v>202</v>
      </c>
      <c r="E111" s="28">
        <v>6540</v>
      </c>
      <c r="F111" s="6"/>
      <c r="G111" s="26"/>
    </row>
    <row r="112" spans="1:7" ht="15" customHeight="1" outlineLevel="2">
      <c r="A112" s="5"/>
      <c r="B112" s="27" t="s">
        <v>68</v>
      </c>
      <c r="C112" s="44"/>
      <c r="D112" s="44" t="s">
        <v>209</v>
      </c>
      <c r="E112" s="28">
        <v>10140</v>
      </c>
      <c r="F112" s="6"/>
      <c r="G112" s="26"/>
    </row>
    <row r="113" spans="1:7" ht="15" customHeight="1" outlineLevel="2">
      <c r="A113" s="5"/>
      <c r="B113" s="27" t="s">
        <v>68</v>
      </c>
      <c r="C113" s="44"/>
      <c r="D113" s="44" t="s">
        <v>210</v>
      </c>
      <c r="E113" s="28">
        <v>23250</v>
      </c>
      <c r="F113" s="6"/>
      <c r="G113" s="26"/>
    </row>
    <row r="114" spans="1:7" ht="15" customHeight="1" outlineLevel="2">
      <c r="A114" s="5"/>
      <c r="B114" s="27" t="s">
        <v>68</v>
      </c>
      <c r="C114" s="44"/>
      <c r="D114" s="44" t="s">
        <v>212</v>
      </c>
      <c r="E114" s="28">
        <v>16680</v>
      </c>
      <c r="F114" s="6"/>
      <c r="G114" s="26"/>
    </row>
    <row r="115" spans="1:7" ht="15" customHeight="1" outlineLevel="2">
      <c r="A115" s="5"/>
      <c r="B115" s="27" t="s">
        <v>111</v>
      </c>
      <c r="C115" s="44"/>
      <c r="D115" s="44" t="s">
        <v>198</v>
      </c>
      <c r="E115" s="28">
        <v>33350</v>
      </c>
      <c r="F115" s="6"/>
      <c r="G115" s="26"/>
    </row>
    <row r="116" spans="1:7" ht="15" customHeight="1" outlineLevel="2">
      <c r="A116" s="5"/>
      <c r="B116" s="27" t="s">
        <v>100</v>
      </c>
      <c r="C116" s="44"/>
      <c r="D116" s="44" t="s">
        <v>204</v>
      </c>
      <c r="E116" s="28">
        <v>42090</v>
      </c>
      <c r="F116" s="6"/>
      <c r="G116" s="26"/>
    </row>
    <row r="117" spans="1:7" ht="15" customHeight="1" outlineLevel="2">
      <c r="A117" s="5"/>
      <c r="B117" s="27" t="s">
        <v>100</v>
      </c>
      <c r="C117" s="44"/>
      <c r="D117" s="44" t="s">
        <v>208</v>
      </c>
      <c r="E117" s="28">
        <v>7600</v>
      </c>
      <c r="F117" s="6"/>
      <c r="G117" s="26"/>
    </row>
    <row r="118" spans="1:7" ht="15" customHeight="1" outlineLevel="2">
      <c r="A118" s="5"/>
      <c r="B118" s="27" t="s">
        <v>134</v>
      </c>
      <c r="C118" s="46"/>
      <c r="D118" s="44" t="s">
        <v>231</v>
      </c>
      <c r="E118" s="28">
        <v>158684</v>
      </c>
      <c r="F118" s="6"/>
      <c r="G118" s="26"/>
    </row>
    <row r="119" spans="1:7" ht="15" customHeight="1" outlineLevel="2">
      <c r="A119" s="5"/>
      <c r="B119" s="27" t="s">
        <v>134</v>
      </c>
      <c r="C119" s="46"/>
      <c r="D119" s="44" t="s">
        <v>240</v>
      </c>
      <c r="E119" s="28">
        <v>88184</v>
      </c>
      <c r="F119" s="6"/>
      <c r="G119" s="26"/>
    </row>
    <row r="120" spans="1:7" ht="15" customHeight="1" outlineLevel="2">
      <c r="A120" s="5"/>
      <c r="B120" s="27" t="s">
        <v>134</v>
      </c>
      <c r="C120" s="46"/>
      <c r="D120" s="44" t="s">
        <v>241</v>
      </c>
      <c r="E120" s="28">
        <v>197684</v>
      </c>
      <c r="F120" s="6"/>
      <c r="G120" s="26"/>
    </row>
    <row r="121" spans="1:7" ht="15" customHeight="1" outlineLevel="2">
      <c r="A121" s="5"/>
      <c r="B121" s="27" t="s">
        <v>75</v>
      </c>
      <c r="C121" s="44"/>
      <c r="D121" s="44" t="s">
        <v>95</v>
      </c>
      <c r="E121" s="28">
        <v>113568</v>
      </c>
      <c r="F121" s="6"/>
      <c r="G121" s="26"/>
    </row>
    <row r="122" spans="1:7" ht="15" customHeight="1" outlineLevel="2">
      <c r="A122" s="5"/>
      <c r="B122" s="27" t="s">
        <v>75</v>
      </c>
      <c r="C122" s="44"/>
      <c r="D122" s="44" t="s">
        <v>201</v>
      </c>
      <c r="E122" s="28">
        <v>66596</v>
      </c>
      <c r="F122" s="6"/>
      <c r="G122" s="26"/>
    </row>
    <row r="123" spans="1:7" ht="15" customHeight="1" outlineLevel="2">
      <c r="A123" s="5"/>
      <c r="B123" s="27" t="s">
        <v>75</v>
      </c>
      <c r="C123" s="44"/>
      <c r="D123" s="44" t="s">
        <v>211</v>
      </c>
      <c r="E123" s="28">
        <v>56784</v>
      </c>
      <c r="F123" s="6"/>
      <c r="G123" s="26"/>
    </row>
    <row r="124" spans="1:7" ht="15" customHeight="1" outlineLevel="2">
      <c r="A124" s="5"/>
      <c r="B124" s="27" t="s">
        <v>99</v>
      </c>
      <c r="C124" s="44"/>
      <c r="D124" s="44" t="s">
        <v>205</v>
      </c>
      <c r="E124" s="28">
        <v>72070</v>
      </c>
      <c r="F124" s="6"/>
      <c r="G124" s="26"/>
    </row>
    <row r="125" spans="1:7" ht="15" customHeight="1" outlineLevel="2">
      <c r="A125" s="5"/>
      <c r="B125" s="27" t="s">
        <v>199</v>
      </c>
      <c r="C125" s="44"/>
      <c r="D125" s="44" t="s">
        <v>200</v>
      </c>
      <c r="E125" s="28">
        <v>867800</v>
      </c>
      <c r="F125" s="6"/>
      <c r="G125" s="26"/>
    </row>
    <row r="126" spans="1:7" ht="15" customHeight="1" outlineLevel="2">
      <c r="A126" s="5"/>
      <c r="B126" s="27" t="s">
        <v>199</v>
      </c>
      <c r="C126" s="44"/>
      <c r="D126" s="44" t="s">
        <v>207</v>
      </c>
      <c r="E126" s="40">
        <v>225400</v>
      </c>
      <c r="F126" s="6"/>
      <c r="G126" s="26">
        <f>SUM(E105:E126)</f>
        <v>2147388</v>
      </c>
    </row>
    <row r="127" spans="1:7" ht="15" customHeight="1" outlineLevel="2" thickBot="1">
      <c r="A127" s="5"/>
      <c r="B127" s="27"/>
      <c r="C127" s="89"/>
      <c r="D127" s="44"/>
      <c r="E127" s="82"/>
      <c r="F127" s="80"/>
      <c r="G127" s="45"/>
    </row>
    <row r="128" spans="1:7" ht="15" customHeight="1" outlineLevel="2">
      <c r="A128" s="5"/>
      <c r="B128" s="32" t="s">
        <v>110</v>
      </c>
      <c r="C128" s="5"/>
      <c r="D128" s="44"/>
      <c r="E128" s="84"/>
      <c r="F128" s="80"/>
      <c r="G128" s="26"/>
    </row>
    <row r="129" spans="1:7" ht="15" customHeight="1" outlineLevel="2">
      <c r="A129" s="5"/>
      <c r="B129" s="27" t="s">
        <v>226</v>
      </c>
      <c r="C129" s="5"/>
      <c r="D129" s="44" t="s">
        <v>227</v>
      </c>
      <c r="E129" s="82">
        <f>181155+50142</f>
        <v>231297</v>
      </c>
      <c r="F129" s="80"/>
      <c r="G129" s="45">
        <f>E129</f>
        <v>231297</v>
      </c>
    </row>
    <row r="130" spans="1:7" ht="15" customHeight="1" outlineLevel="2">
      <c r="A130" s="5"/>
      <c r="B130" s="27"/>
      <c r="C130" s="5"/>
      <c r="D130" s="44"/>
      <c r="E130" s="84"/>
      <c r="F130" s="6"/>
      <c r="G130" s="26"/>
    </row>
    <row r="131" spans="1:7" ht="15" customHeight="1" outlineLevel="2">
      <c r="A131" s="5"/>
      <c r="B131" s="32" t="s">
        <v>163</v>
      </c>
      <c r="C131" s="5"/>
      <c r="D131" s="44"/>
      <c r="E131" s="84"/>
      <c r="F131" s="6"/>
      <c r="G131" s="26"/>
    </row>
    <row r="132" spans="1:7" ht="15" customHeight="1" outlineLevel="2">
      <c r="A132" s="5"/>
      <c r="B132" s="27" t="s">
        <v>171</v>
      </c>
      <c r="C132" s="5"/>
      <c r="D132" s="44" t="s">
        <v>170</v>
      </c>
      <c r="E132" s="84">
        <v>3000000</v>
      </c>
      <c r="F132" s="6"/>
      <c r="G132" s="26"/>
    </row>
    <row r="133" spans="1:7" ht="15" customHeight="1" outlineLevel="2">
      <c r="A133" s="5"/>
      <c r="B133" s="27" t="s">
        <v>193</v>
      </c>
      <c r="C133" s="5"/>
      <c r="D133" s="44" t="s">
        <v>194</v>
      </c>
      <c r="E133" s="82">
        <v>944430</v>
      </c>
      <c r="F133" s="6"/>
      <c r="G133" s="26">
        <f>SUM(E132:E133)</f>
        <v>3944430</v>
      </c>
    </row>
    <row r="134" spans="1:7" ht="15" customHeight="1" outlineLevel="2">
      <c r="A134" s="5"/>
      <c r="B134" s="27"/>
      <c r="C134" s="5"/>
      <c r="D134" s="44"/>
      <c r="E134" s="84"/>
      <c r="F134" s="6"/>
      <c r="G134" s="26"/>
    </row>
    <row r="135" spans="1:7" ht="15" customHeight="1" outlineLevel="2">
      <c r="A135" s="5"/>
      <c r="B135" s="32" t="s">
        <v>98</v>
      </c>
      <c r="C135" s="5"/>
      <c r="D135" s="44"/>
      <c r="E135" s="84"/>
      <c r="F135" s="80"/>
      <c r="G135" s="26"/>
    </row>
    <row r="136" spans="1:7" ht="15" customHeight="1" outlineLevel="2">
      <c r="A136" s="5"/>
      <c r="B136" s="27" t="s">
        <v>235</v>
      </c>
      <c r="C136" s="5"/>
      <c r="D136" s="44" t="s">
        <v>236</v>
      </c>
      <c r="E136" s="84">
        <v>93334</v>
      </c>
      <c r="F136" s="6"/>
      <c r="G136" s="26"/>
    </row>
    <row r="137" spans="1:7" ht="15" customHeight="1" outlineLevel="2">
      <c r="A137" s="5"/>
      <c r="B137" s="27" t="s">
        <v>147</v>
      </c>
      <c r="C137" s="5"/>
      <c r="D137" s="44" t="s">
        <v>225</v>
      </c>
      <c r="E137" s="84">
        <v>535500</v>
      </c>
      <c r="F137" s="6"/>
      <c r="G137" s="26"/>
    </row>
    <row r="138" spans="1:7" ht="15" customHeight="1" outlineLevel="2">
      <c r="A138" s="5"/>
      <c r="B138" s="27" t="s">
        <v>75</v>
      </c>
      <c r="C138" s="5"/>
      <c r="D138" s="44" t="s">
        <v>228</v>
      </c>
      <c r="E138" s="84">
        <v>21516</v>
      </c>
      <c r="F138" s="6"/>
      <c r="G138" s="26"/>
    </row>
    <row r="139" spans="1:7" ht="15" customHeight="1" outlineLevel="2">
      <c r="A139" s="5"/>
      <c r="B139" s="27" t="s">
        <v>233</v>
      </c>
      <c r="C139" s="5"/>
      <c r="D139" s="44" t="s">
        <v>234</v>
      </c>
      <c r="E139" s="84">
        <v>8000</v>
      </c>
      <c r="F139" s="6"/>
      <c r="G139" s="26"/>
    </row>
    <row r="140" spans="1:7" ht="15" customHeight="1" outlineLevel="2">
      <c r="A140" s="5"/>
      <c r="B140" s="27" t="s">
        <v>75</v>
      </c>
      <c r="C140" s="5"/>
      <c r="D140" s="44" t="s">
        <v>232</v>
      </c>
      <c r="E140" s="82">
        <v>236786</v>
      </c>
      <c r="F140" s="6"/>
      <c r="G140" s="26">
        <f>SUM(E136:E140)</f>
        <v>895136</v>
      </c>
    </row>
    <row r="141" spans="1:7" ht="15" customHeight="1" outlineLevel="2">
      <c r="A141" s="5"/>
      <c r="B141" s="27"/>
      <c r="C141" s="5"/>
      <c r="D141" s="44"/>
      <c r="E141" s="84"/>
      <c r="F141" s="6"/>
      <c r="G141" s="26"/>
    </row>
    <row r="142" spans="1:7" ht="15" customHeight="1" outlineLevel="2" thickBot="1">
      <c r="A142" s="5"/>
      <c r="B142" s="76"/>
      <c r="C142" s="89"/>
      <c r="D142" s="90"/>
      <c r="E142" s="93"/>
      <c r="F142" s="92"/>
      <c r="G142" s="78"/>
    </row>
    <row r="143" spans="5:7" s="5" customFormat="1" ht="15" customHeight="1" outlineLevel="2">
      <c r="E143" s="8"/>
      <c r="F143" s="6"/>
      <c r="G143" s="6"/>
    </row>
    <row r="144" spans="1:7" ht="15" customHeight="1" outlineLevel="2">
      <c r="A144" s="5"/>
      <c r="B144" s="32" t="s">
        <v>104</v>
      </c>
      <c r="C144" s="5"/>
      <c r="D144" s="27"/>
      <c r="E144" s="28"/>
      <c r="F144" s="6"/>
      <c r="G144" s="26"/>
    </row>
    <row r="145" spans="1:7" ht="15" customHeight="1" outlineLevel="2">
      <c r="A145" s="5"/>
      <c r="B145" s="27" t="s">
        <v>138</v>
      </c>
      <c r="C145" s="5"/>
      <c r="D145" s="44" t="s">
        <v>139</v>
      </c>
      <c r="E145" s="82">
        <f>23310+830</f>
        <v>24140</v>
      </c>
      <c r="F145" s="6"/>
      <c r="G145" s="26">
        <f>E145</f>
        <v>24140</v>
      </c>
    </row>
    <row r="146" spans="1:7" ht="15" customHeight="1" outlineLevel="2">
      <c r="A146" s="5"/>
      <c r="B146" s="27"/>
      <c r="C146" s="5"/>
      <c r="D146" s="44"/>
      <c r="E146" s="84"/>
      <c r="F146" s="6"/>
      <c r="G146" s="26"/>
    </row>
    <row r="147" spans="1:7" ht="15" customHeight="1" outlineLevel="2">
      <c r="A147" s="5"/>
      <c r="B147" s="32" t="s">
        <v>59</v>
      </c>
      <c r="C147" s="5"/>
      <c r="D147" s="83"/>
      <c r="E147" s="82"/>
      <c r="F147" s="6"/>
      <c r="G147" s="26"/>
    </row>
    <row r="148" spans="1:7" ht="15" customHeight="1" outlineLevel="2">
      <c r="A148" s="5"/>
      <c r="B148" s="27" t="s">
        <v>85</v>
      </c>
      <c r="C148" s="5"/>
      <c r="D148" s="44" t="s">
        <v>116</v>
      </c>
      <c r="E148" s="84">
        <f>350000+170000</f>
        <v>520000</v>
      </c>
      <c r="F148" s="6"/>
      <c r="G148" s="26"/>
    </row>
    <row r="149" spans="1:7" ht="15" customHeight="1" outlineLevel="2">
      <c r="A149" s="5"/>
      <c r="B149" s="27" t="s">
        <v>188</v>
      </c>
      <c r="C149" s="5"/>
      <c r="D149" s="44" t="s">
        <v>189</v>
      </c>
      <c r="E149" s="84">
        <v>45000</v>
      </c>
      <c r="F149" s="6"/>
      <c r="G149" s="26"/>
    </row>
    <row r="150" spans="1:7" ht="15" customHeight="1" outlineLevel="2">
      <c r="A150" s="5"/>
      <c r="B150" s="27" t="s">
        <v>57</v>
      </c>
      <c r="C150" s="5"/>
      <c r="D150" s="44" t="s">
        <v>216</v>
      </c>
      <c r="E150" s="82">
        <v>50000</v>
      </c>
      <c r="F150" s="6"/>
      <c r="G150" s="26">
        <f>SUM(E148:E150)</f>
        <v>615000</v>
      </c>
    </row>
    <row r="151" spans="1:7" ht="15" customHeight="1" outlineLevel="2">
      <c r="A151" s="5"/>
      <c r="B151" s="27"/>
      <c r="C151" s="5"/>
      <c r="D151" s="44"/>
      <c r="E151" s="84"/>
      <c r="F151" s="6"/>
      <c r="G151" s="26"/>
    </row>
    <row r="152" spans="1:7" ht="15.75" customHeight="1" outlineLevel="2">
      <c r="A152" s="5"/>
      <c r="B152" s="31" t="s">
        <v>6</v>
      </c>
      <c r="C152" s="5"/>
      <c r="D152" s="21"/>
      <c r="E152" s="40"/>
      <c r="F152" s="6"/>
      <c r="G152" s="26"/>
    </row>
    <row r="153" spans="2:7" s="5" customFormat="1" ht="15" customHeight="1" outlineLevel="2">
      <c r="B153" s="27" t="s">
        <v>108</v>
      </c>
      <c r="D153" s="21" t="s">
        <v>109</v>
      </c>
      <c r="E153" s="28"/>
      <c r="F153" s="8"/>
      <c r="G153" s="28"/>
    </row>
    <row r="154" spans="2:7" s="5" customFormat="1" ht="15" customHeight="1" outlineLevel="2">
      <c r="B154" s="27" t="s">
        <v>149</v>
      </c>
      <c r="D154" s="44" t="s">
        <v>150</v>
      </c>
      <c r="E154" s="28">
        <v>72626</v>
      </c>
      <c r="F154" s="8"/>
      <c r="G154" s="28"/>
    </row>
    <row r="155" spans="2:7" s="5" customFormat="1" ht="15" customHeight="1" outlineLevel="2">
      <c r="B155" s="27" t="s">
        <v>151</v>
      </c>
      <c r="D155" s="44" t="s">
        <v>152</v>
      </c>
      <c r="E155" s="28">
        <v>342500</v>
      </c>
      <c r="F155" s="8"/>
      <c r="G155" s="28"/>
    </row>
    <row r="156" spans="2:7" s="5" customFormat="1" ht="15" customHeight="1" outlineLevel="2">
      <c r="B156" s="27" t="s">
        <v>56</v>
      </c>
      <c r="D156" s="44" t="s">
        <v>123</v>
      </c>
      <c r="E156" s="28">
        <v>217360</v>
      </c>
      <c r="F156" s="8"/>
      <c r="G156" s="28"/>
    </row>
    <row r="157" spans="2:7" s="5" customFormat="1" ht="15" customHeight="1" outlineLevel="2">
      <c r="B157" s="27" t="s">
        <v>56</v>
      </c>
      <c r="D157" s="44" t="s">
        <v>145</v>
      </c>
      <c r="E157" s="28">
        <v>122220</v>
      </c>
      <c r="F157" s="8"/>
      <c r="G157" s="28"/>
    </row>
    <row r="158" spans="2:7" s="5" customFormat="1" ht="15" customHeight="1" outlineLevel="2">
      <c r="B158" s="27" t="s">
        <v>219</v>
      </c>
      <c r="D158" s="44" t="s">
        <v>220</v>
      </c>
      <c r="E158" s="28">
        <v>103265</v>
      </c>
      <c r="F158" s="8"/>
      <c r="G158" s="28"/>
    </row>
    <row r="159" spans="2:7" s="5" customFormat="1" ht="15" customHeight="1" outlineLevel="2">
      <c r="B159" s="27" t="s">
        <v>219</v>
      </c>
      <c r="D159" s="44" t="s">
        <v>221</v>
      </c>
      <c r="E159" s="28">
        <v>487691</v>
      </c>
      <c r="F159" s="8"/>
      <c r="G159" s="28"/>
    </row>
    <row r="160" spans="2:7" s="5" customFormat="1" ht="15" customHeight="1" outlineLevel="2">
      <c r="B160" s="27" t="s">
        <v>222</v>
      </c>
      <c r="D160" s="44" t="s">
        <v>223</v>
      </c>
      <c r="E160" s="28">
        <v>386977</v>
      </c>
      <c r="F160" s="8"/>
      <c r="G160" s="28"/>
    </row>
    <row r="161" spans="2:7" s="5" customFormat="1" ht="15" customHeight="1" outlineLevel="2">
      <c r="B161" s="27" t="s">
        <v>56</v>
      </c>
      <c r="D161" s="44" t="s">
        <v>218</v>
      </c>
      <c r="E161" s="28">
        <v>116238</v>
      </c>
      <c r="F161" s="8"/>
      <c r="G161" s="28"/>
    </row>
    <row r="162" spans="2:7" s="5" customFormat="1" ht="15" customHeight="1" outlineLevel="2">
      <c r="B162" s="27" t="s">
        <v>56</v>
      </c>
      <c r="D162" s="44" t="s">
        <v>217</v>
      </c>
      <c r="E162" s="28">
        <v>357000</v>
      </c>
      <c r="F162" s="8"/>
      <c r="G162" s="28"/>
    </row>
    <row r="163" spans="1:7" ht="15" customHeight="1" outlineLevel="2" thickBot="1">
      <c r="A163" s="5"/>
      <c r="B163" s="27" t="s">
        <v>52</v>
      </c>
      <c r="C163" s="89"/>
      <c r="D163" s="95" t="s">
        <v>82</v>
      </c>
      <c r="E163" s="40">
        <v>220900</v>
      </c>
      <c r="F163" s="6"/>
      <c r="G163" s="26">
        <f>SUM(E153:E163)</f>
        <v>2426777</v>
      </c>
    </row>
    <row r="164" spans="1:7" ht="15" customHeight="1" outlineLevel="2">
      <c r="A164" s="5"/>
      <c r="B164" s="27"/>
      <c r="C164" s="5"/>
      <c r="D164" s="21"/>
      <c r="E164" s="40"/>
      <c r="F164" s="6"/>
      <c r="G164" s="26"/>
    </row>
    <row r="165" spans="1:7" ht="15" customHeight="1" outlineLevel="2">
      <c r="A165" s="5"/>
      <c r="B165" s="31" t="s">
        <v>159</v>
      </c>
      <c r="C165" s="5"/>
      <c r="D165" s="22"/>
      <c r="E165" s="28"/>
      <c r="F165" s="6"/>
      <c r="G165" s="26"/>
    </row>
    <row r="166" spans="1:7" ht="15" customHeight="1" outlineLevel="2">
      <c r="A166" s="5"/>
      <c r="B166" s="27" t="s">
        <v>81</v>
      </c>
      <c r="C166" s="5"/>
      <c r="D166" s="95" t="s">
        <v>246</v>
      </c>
      <c r="E166" s="28">
        <v>257400</v>
      </c>
      <c r="F166" s="6"/>
      <c r="G166" s="26"/>
    </row>
    <row r="167" spans="1:7" ht="15" customHeight="1" outlineLevel="2">
      <c r="A167" s="5"/>
      <c r="B167" s="27" t="s">
        <v>56</v>
      </c>
      <c r="C167" s="5"/>
      <c r="D167" s="95" t="s">
        <v>246</v>
      </c>
      <c r="E167" s="28">
        <v>828188</v>
      </c>
      <c r="F167" s="6"/>
      <c r="G167" s="26"/>
    </row>
    <row r="168" spans="1:7" ht="15" customHeight="1" outlineLevel="2">
      <c r="A168" s="5"/>
      <c r="B168" s="27" t="s">
        <v>102</v>
      </c>
      <c r="C168" s="5"/>
      <c r="D168" s="95" t="s">
        <v>246</v>
      </c>
      <c r="E168" s="28">
        <v>663952</v>
      </c>
      <c r="F168" s="6"/>
      <c r="G168" s="26"/>
    </row>
    <row r="169" spans="1:7" ht="15" customHeight="1" outlineLevel="2">
      <c r="A169" s="5"/>
      <c r="B169" s="27" t="s">
        <v>83</v>
      </c>
      <c r="C169" s="5"/>
      <c r="D169" s="95" t="s">
        <v>246</v>
      </c>
      <c r="E169" s="28">
        <v>1414248</v>
      </c>
      <c r="F169" s="6"/>
      <c r="G169" s="26"/>
    </row>
    <row r="170" spans="1:7" ht="15" customHeight="1" outlineLevel="2">
      <c r="A170" s="5"/>
      <c r="B170" s="27" t="s">
        <v>57</v>
      </c>
      <c r="C170" s="5"/>
      <c r="D170" s="95" t="s">
        <v>246</v>
      </c>
      <c r="E170" s="28">
        <v>703269</v>
      </c>
      <c r="F170" s="6"/>
      <c r="G170" s="26"/>
    </row>
    <row r="171" spans="1:7" ht="14.25" customHeight="1" outlineLevel="2">
      <c r="A171" s="5"/>
      <c r="B171" s="27" t="s">
        <v>73</v>
      </c>
      <c r="C171" s="5"/>
      <c r="D171" s="95" t="s">
        <v>246</v>
      </c>
      <c r="E171" s="28">
        <v>1078772</v>
      </c>
      <c r="F171" s="6"/>
      <c r="G171" s="26"/>
    </row>
    <row r="172" spans="1:7" ht="14.25" customHeight="1" outlineLevel="2">
      <c r="A172" s="5"/>
      <c r="B172" s="27" t="s">
        <v>85</v>
      </c>
      <c r="C172" s="5"/>
      <c r="D172" s="95" t="s">
        <v>246</v>
      </c>
      <c r="E172" s="28">
        <v>1191413</v>
      </c>
      <c r="F172" s="6"/>
      <c r="G172" s="26"/>
    </row>
    <row r="173" spans="1:7" ht="14.25" customHeight="1" outlineLevel="2">
      <c r="A173" s="5"/>
      <c r="B173" s="27" t="s">
        <v>84</v>
      </c>
      <c r="C173" s="5"/>
      <c r="D173" s="95" t="s">
        <v>246</v>
      </c>
      <c r="E173" s="28">
        <v>943254</v>
      </c>
      <c r="F173" s="6"/>
      <c r="G173" s="26"/>
    </row>
    <row r="174" spans="1:7" ht="14.25" customHeight="1" outlineLevel="2">
      <c r="A174" s="5"/>
      <c r="B174" s="27" t="s">
        <v>86</v>
      </c>
      <c r="C174" s="5"/>
      <c r="D174" s="95" t="s">
        <v>246</v>
      </c>
      <c r="E174" s="28">
        <v>658919</v>
      </c>
      <c r="F174" s="6"/>
      <c r="G174" s="26"/>
    </row>
    <row r="175" spans="1:7" ht="14.25" customHeight="1" outlineLevel="2">
      <c r="A175" s="5"/>
      <c r="B175" s="27" t="s">
        <v>75</v>
      </c>
      <c r="C175" s="5"/>
      <c r="D175" s="95" t="s">
        <v>246</v>
      </c>
      <c r="E175" s="40">
        <v>785013</v>
      </c>
      <c r="F175" s="6"/>
      <c r="G175" s="26">
        <f>SUM(E166:E175)</f>
        <v>8524428</v>
      </c>
    </row>
    <row r="176" spans="1:7" ht="15" customHeight="1" outlineLevel="2" thickBot="1">
      <c r="A176" s="5"/>
      <c r="B176" s="76"/>
      <c r="C176" s="89"/>
      <c r="D176" s="99"/>
      <c r="E176" s="77"/>
      <c r="F176" s="92"/>
      <c r="G176" s="78"/>
    </row>
    <row r="177" spans="1:7" ht="15" customHeight="1" outlineLevel="2">
      <c r="A177" s="5"/>
      <c r="B177" s="31" t="s">
        <v>12</v>
      </c>
      <c r="C177" s="5"/>
      <c r="D177" s="21"/>
      <c r="E177" s="28"/>
      <c r="F177" s="6"/>
      <c r="G177" s="26"/>
    </row>
    <row r="178" spans="1:7" ht="15" customHeight="1" outlineLevel="2">
      <c r="A178" s="5"/>
      <c r="B178" s="27" t="s">
        <v>13</v>
      </c>
      <c r="C178" s="5"/>
      <c r="D178" s="95" t="s">
        <v>160</v>
      </c>
      <c r="E178" s="28">
        <v>244497</v>
      </c>
      <c r="F178" s="6"/>
      <c r="G178" s="26"/>
    </row>
    <row r="179" spans="1:7" ht="15" customHeight="1" outlineLevel="2">
      <c r="A179" s="5"/>
      <c r="B179" s="27" t="s">
        <v>79</v>
      </c>
      <c r="C179" s="5"/>
      <c r="D179" s="95" t="s">
        <v>160</v>
      </c>
      <c r="E179" s="28">
        <v>72427</v>
      </c>
      <c r="F179" s="6"/>
      <c r="G179" s="26"/>
    </row>
    <row r="180" spans="1:7" ht="15" customHeight="1" outlineLevel="2">
      <c r="A180" s="5"/>
      <c r="B180" s="27" t="s">
        <v>80</v>
      </c>
      <c r="C180" s="11"/>
      <c r="D180" s="95" t="s">
        <v>160</v>
      </c>
      <c r="E180" s="28">
        <v>177716</v>
      </c>
      <c r="F180" s="6"/>
      <c r="G180" s="26"/>
    </row>
    <row r="181" spans="1:7" ht="15" customHeight="1" outlineLevel="2">
      <c r="A181" s="5"/>
      <c r="B181" s="27" t="s">
        <v>91</v>
      </c>
      <c r="C181" s="5"/>
      <c r="D181" s="95" t="s">
        <v>160</v>
      </c>
      <c r="E181" s="28">
        <v>288079</v>
      </c>
      <c r="F181" s="6"/>
      <c r="G181" s="26"/>
    </row>
    <row r="182" spans="1:7" ht="15" customHeight="1" outlineLevel="2">
      <c r="A182" s="5"/>
      <c r="B182" s="27" t="s">
        <v>51</v>
      </c>
      <c r="C182" s="5"/>
      <c r="D182" s="95" t="s">
        <v>160</v>
      </c>
      <c r="E182" s="28">
        <v>27008</v>
      </c>
      <c r="F182" s="6"/>
      <c r="G182" s="26"/>
    </row>
    <row r="183" spans="1:7" ht="15" customHeight="1" outlineLevel="2">
      <c r="A183" s="5"/>
      <c r="B183" s="27" t="s">
        <v>48</v>
      </c>
      <c r="C183" s="5"/>
      <c r="D183" s="95" t="s">
        <v>160</v>
      </c>
      <c r="E183" s="28">
        <v>359735</v>
      </c>
      <c r="F183" s="6"/>
      <c r="G183" s="26"/>
    </row>
    <row r="184" spans="1:7" ht="15" customHeight="1" outlineLevel="2">
      <c r="A184" s="5"/>
      <c r="B184" s="27" t="s">
        <v>58</v>
      </c>
      <c r="C184" s="5"/>
      <c r="D184" s="95" t="s">
        <v>160</v>
      </c>
      <c r="E184" s="28">
        <v>96928</v>
      </c>
      <c r="F184" s="6"/>
      <c r="G184" s="26"/>
    </row>
    <row r="185" spans="1:7" ht="15" customHeight="1" outlineLevel="2">
      <c r="A185" s="5"/>
      <c r="B185" s="27" t="s">
        <v>28</v>
      </c>
      <c r="C185" s="5"/>
      <c r="D185" s="95" t="s">
        <v>160</v>
      </c>
      <c r="E185" s="28">
        <f>26817+84313+23641+11809+61002</f>
        <v>207582</v>
      </c>
      <c r="F185" s="6"/>
      <c r="G185" s="26"/>
    </row>
    <row r="186" spans="1:7" ht="15" customHeight="1" outlineLevel="2">
      <c r="A186" s="5"/>
      <c r="B186" s="27" t="s">
        <v>88</v>
      </c>
      <c r="C186" s="5"/>
      <c r="D186" s="95" t="s">
        <v>160</v>
      </c>
      <c r="E186" s="28">
        <v>115939</v>
      </c>
      <c r="F186" s="6"/>
      <c r="G186" s="26"/>
    </row>
    <row r="187" spans="1:7" ht="15" customHeight="1" outlineLevel="2">
      <c r="A187" s="5"/>
      <c r="B187" s="27" t="s">
        <v>78</v>
      </c>
      <c r="C187" s="5"/>
      <c r="D187" s="95" t="s">
        <v>160</v>
      </c>
      <c r="E187" s="28">
        <v>49949</v>
      </c>
      <c r="F187" s="6"/>
      <c r="G187" s="26"/>
    </row>
    <row r="188" spans="1:10" ht="15" customHeight="1" outlineLevel="2" thickBot="1">
      <c r="A188" s="5"/>
      <c r="B188" s="96" t="s">
        <v>23</v>
      </c>
      <c r="C188" s="5"/>
      <c r="D188" s="95" t="s">
        <v>160</v>
      </c>
      <c r="E188" s="77">
        <v>324578</v>
      </c>
      <c r="F188" s="97"/>
      <c r="G188" s="98">
        <f>SUM(E178:E188)</f>
        <v>1964438</v>
      </c>
      <c r="I188" s="3"/>
      <c r="J188" s="3"/>
    </row>
    <row r="189" spans="2:11" ht="12.75" outlineLevel="1" thickBot="1">
      <c r="B189" s="47" t="s">
        <v>14</v>
      </c>
      <c r="C189" s="86"/>
      <c r="D189" s="86"/>
      <c r="E189" s="85"/>
      <c r="F189" s="48">
        <f>SUM(F8:F188)</f>
        <v>39251129</v>
      </c>
      <c r="G189" s="48">
        <f>SUM(G44:G188)</f>
        <v>39233791</v>
      </c>
      <c r="H189" s="3"/>
      <c r="I189" s="3"/>
      <c r="J189" s="3"/>
      <c r="K189" s="3"/>
    </row>
    <row r="190" spans="2:9" ht="12.75" outlineLevel="1" thickBot="1">
      <c r="B190" s="50" t="s">
        <v>15</v>
      </c>
      <c r="C190" s="86"/>
      <c r="D190" s="75"/>
      <c r="E190" s="49"/>
      <c r="F190" s="49">
        <f>G6</f>
        <v>95167306</v>
      </c>
      <c r="G190" s="49">
        <v>0</v>
      </c>
      <c r="H190" s="3"/>
      <c r="I190" s="3"/>
    </row>
    <row r="191" spans="2:10" ht="12.75" thickBot="1">
      <c r="B191" s="52" t="s">
        <v>16</v>
      </c>
      <c r="C191" s="86"/>
      <c r="D191" s="51"/>
      <c r="E191" s="49"/>
      <c r="F191" s="49">
        <f>SUM(F189:F190)</f>
        <v>134418435</v>
      </c>
      <c r="G191" s="49">
        <f>SUM(G189:G190)</f>
        <v>39233791</v>
      </c>
      <c r="H191" s="3"/>
      <c r="I191" s="3"/>
      <c r="J191" s="3"/>
    </row>
    <row r="192" spans="2:9" ht="12" thickBot="1">
      <c r="B192" s="7"/>
      <c r="C192" s="89"/>
      <c r="D192" s="7"/>
      <c r="E192" s="6"/>
      <c r="F192" s="6"/>
      <c r="G192" s="6"/>
      <c r="H192" s="3"/>
      <c r="I192" s="3"/>
    </row>
    <row r="193" spans="1:9" s="9" customFormat="1" ht="15" customHeight="1" thickBot="1">
      <c r="A193" s="11"/>
      <c r="B193" s="53" t="s">
        <v>169</v>
      </c>
      <c r="C193" s="54"/>
      <c r="D193" s="54"/>
      <c r="E193" s="55">
        <f>F189+F190-G189</f>
        <v>95184644</v>
      </c>
      <c r="F193" s="13" t="s">
        <v>7</v>
      </c>
      <c r="G193"/>
      <c r="H193" s="4"/>
      <c r="I193" s="3"/>
    </row>
    <row r="194" spans="2:9" s="5" customFormat="1" ht="35.25" customHeight="1">
      <c r="B194" s="7"/>
      <c r="D194" s="7"/>
      <c r="E194" s="6"/>
      <c r="F194" s="6"/>
      <c r="G194" s="6"/>
      <c r="H194" s="8"/>
      <c r="I194" s="8"/>
    </row>
    <row r="195" spans="2:7" s="5" customFormat="1" ht="12">
      <c r="B195" s="7"/>
      <c r="D195" s="7"/>
      <c r="E195" s="6"/>
      <c r="F195" s="13" t="s">
        <v>106</v>
      </c>
      <c r="G195" s="6"/>
    </row>
    <row r="196" spans="2:7" s="5" customFormat="1" ht="12">
      <c r="B196" s="5" t="s">
        <v>248</v>
      </c>
      <c r="D196" s="7"/>
      <c r="E196" s="6"/>
      <c r="F196" s="13" t="s">
        <v>107</v>
      </c>
      <c r="G196" s="6"/>
    </row>
    <row r="197" spans="4:7" s="5" customFormat="1" ht="15" customHeight="1">
      <c r="D197" s="12"/>
      <c r="E197" s="14"/>
      <c r="F197" s="13"/>
      <c r="G197" s="13"/>
    </row>
    <row r="198" spans="5:7" s="5" customFormat="1" ht="15" customHeight="1">
      <c r="E198" s="8"/>
      <c r="F198" s="6"/>
      <c r="G198" s="6"/>
    </row>
    <row r="199" spans="3:6" ht="11.25">
      <c r="C199" s="5"/>
      <c r="F199" s="3"/>
    </row>
    <row r="200" ht="11.25">
      <c r="C200" s="5"/>
    </row>
    <row r="201" ht="11.25">
      <c r="C201" s="5"/>
    </row>
    <row r="202" ht="11.25">
      <c r="C202" s="5"/>
    </row>
    <row r="203" ht="11.25">
      <c r="C203" s="5"/>
    </row>
    <row r="204" ht="11.25">
      <c r="C204" s="5"/>
    </row>
    <row r="205" ht="11.25">
      <c r="C205" s="5"/>
    </row>
    <row r="206" ht="11.25">
      <c r="C206" s="5"/>
    </row>
  </sheetData>
  <sheetProtection/>
  <autoFilter ref="E4:E198"/>
  <printOptions horizontalCentered="1"/>
  <pageMargins left="0.3937007874015748" right="0.3937007874015748" top="0.41" bottom="0.47" header="0" footer="0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A7" sqref="A7:IV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65" t="s">
        <v>60</v>
      </c>
      <c r="C6" s="65" t="s">
        <v>35</v>
      </c>
      <c r="D6" s="65"/>
      <c r="E6" s="60" t="s">
        <v>54</v>
      </c>
    </row>
    <row r="7" spans="2:5" s="5" customFormat="1" ht="15" customHeight="1">
      <c r="B7" s="27" t="s">
        <v>36</v>
      </c>
      <c r="C7" s="27">
        <v>89</v>
      </c>
      <c r="D7" s="28">
        <f>471700+12720</f>
        <v>484420</v>
      </c>
      <c r="E7" s="56">
        <f>378400+4300+378400+4300</f>
        <v>765400</v>
      </c>
    </row>
    <row r="8" spans="2:5" s="5" customFormat="1" ht="15" customHeight="1">
      <c r="B8" s="27" t="s">
        <v>31</v>
      </c>
      <c r="C8" s="27">
        <v>124</v>
      </c>
      <c r="D8" s="28">
        <v>657200</v>
      </c>
      <c r="E8" s="56">
        <f>533200+8600</f>
        <v>541800</v>
      </c>
    </row>
    <row r="9" spans="2:5" s="5" customFormat="1" ht="15" customHeight="1">
      <c r="B9" s="27" t="s">
        <v>34</v>
      </c>
      <c r="C9" s="27">
        <v>246</v>
      </c>
      <c r="D9" s="28">
        <v>1303800</v>
      </c>
      <c r="E9" s="56">
        <f>838500+8600+834200+8600</f>
        <v>1689900</v>
      </c>
    </row>
    <row r="10" spans="2:5" s="5" customFormat="1" ht="15" customHeight="1">
      <c r="B10" s="27" t="s">
        <v>37</v>
      </c>
      <c r="C10" s="27">
        <v>154</v>
      </c>
      <c r="D10" s="28">
        <v>816200</v>
      </c>
      <c r="E10" s="56">
        <v>0</v>
      </c>
    </row>
    <row r="11" spans="2:5" s="5" customFormat="1" ht="15" customHeight="1">
      <c r="B11" s="27" t="s">
        <v>29</v>
      </c>
      <c r="C11" s="27">
        <v>186</v>
      </c>
      <c r="D11" s="28">
        <v>985800</v>
      </c>
      <c r="E11" s="56">
        <f>8600+967500</f>
        <v>976100</v>
      </c>
    </row>
    <row r="12" spans="2:5" s="5" customFormat="1" ht="15" customHeight="1">
      <c r="B12" s="27" t="s">
        <v>38</v>
      </c>
      <c r="C12" s="27">
        <v>492</v>
      </c>
      <c r="D12" s="28">
        <f>2120+2607600</f>
        <v>2609720</v>
      </c>
      <c r="E12" s="56">
        <f>17200+223100+8600+8600</f>
        <v>257500</v>
      </c>
    </row>
    <row r="13" spans="2:5" s="5" customFormat="1" ht="15" customHeight="1">
      <c r="B13" s="27" t="s">
        <v>39</v>
      </c>
      <c r="C13" s="27">
        <v>694</v>
      </c>
      <c r="D13" s="28">
        <f>3678200+4240+6360+2040+5300+2160+2120+14840+2040+12720+2040</f>
        <v>3732060</v>
      </c>
      <c r="E13" s="56">
        <f>3457200+30100+3990</f>
        <v>3491290</v>
      </c>
    </row>
    <row r="14" spans="2:5" s="5" customFormat="1" ht="15" customHeight="1">
      <c r="B14" s="27" t="s">
        <v>40</v>
      </c>
      <c r="C14" s="27">
        <v>151</v>
      </c>
      <c r="D14" s="28">
        <v>800300</v>
      </c>
      <c r="E14" s="56">
        <f>8600+602000+593400</f>
        <v>1204000</v>
      </c>
    </row>
    <row r="15" spans="2:5" s="5" customFormat="1" ht="15" customHeight="1">
      <c r="B15" s="27" t="s">
        <v>27</v>
      </c>
      <c r="C15" s="27">
        <v>176</v>
      </c>
      <c r="D15" s="28">
        <v>932800</v>
      </c>
      <c r="E15" s="56">
        <f>640700+653600</f>
        <v>1294300</v>
      </c>
    </row>
    <row r="16" spans="2:5" s="5" customFormat="1" ht="15" customHeight="1">
      <c r="B16" s="27" t="s">
        <v>41</v>
      </c>
      <c r="C16" s="27">
        <v>394</v>
      </c>
      <c r="D16" s="28">
        <v>2088200</v>
      </c>
      <c r="E16" s="56">
        <f>1797400+8600</f>
        <v>1806000</v>
      </c>
    </row>
    <row r="17" spans="2:5" s="5" customFormat="1" ht="15" customHeight="1">
      <c r="B17" s="27" t="s">
        <v>42</v>
      </c>
      <c r="C17" s="27">
        <v>170</v>
      </c>
      <c r="D17" s="28">
        <f>901000+2100</f>
        <v>903100</v>
      </c>
      <c r="E17" s="56">
        <v>774000</v>
      </c>
    </row>
    <row r="18" spans="2:5" s="5" customFormat="1" ht="15" customHeight="1">
      <c r="B18" s="27" t="s">
        <v>43</v>
      </c>
      <c r="C18" s="27">
        <v>337</v>
      </c>
      <c r="D18" s="28">
        <f>1786100+3000+3000</f>
        <v>1792100</v>
      </c>
      <c r="E18" s="56">
        <f>1427290</f>
        <v>1427290</v>
      </c>
    </row>
    <row r="19" spans="2:5" s="5" customFormat="1" ht="15" customHeight="1">
      <c r="B19" s="27" t="s">
        <v>26</v>
      </c>
      <c r="C19" s="27">
        <f>107</f>
        <v>107</v>
      </c>
      <c r="D19" s="28">
        <f>567100+5100</f>
        <v>572200</v>
      </c>
      <c r="E19" s="56">
        <v>442900</v>
      </c>
    </row>
    <row r="20" spans="2:5" s="5" customFormat="1" ht="15" customHeight="1">
      <c r="B20" s="27" t="s">
        <v>44</v>
      </c>
      <c r="C20" s="27">
        <v>472</v>
      </c>
      <c r="D20" s="28">
        <v>2501600</v>
      </c>
      <c r="E20" s="56">
        <f>1720+12900+2128500</f>
        <v>2143120</v>
      </c>
    </row>
    <row r="21" spans="2:5" s="5" customFormat="1" ht="15" customHeight="1">
      <c r="B21" s="27" t="s">
        <v>32</v>
      </c>
      <c r="C21" s="27">
        <v>304</v>
      </c>
      <c r="D21" s="28">
        <f>1611200+5300</f>
        <v>1616500</v>
      </c>
      <c r="E21" s="56">
        <f>7740+1388900+12900+1596</f>
        <v>1411136</v>
      </c>
    </row>
    <row r="22" spans="2:5" s="5" customFormat="1" ht="15" customHeight="1">
      <c r="B22" s="27" t="s">
        <v>45</v>
      </c>
      <c r="C22" s="27">
        <v>231</v>
      </c>
      <c r="D22" s="28">
        <v>1224300</v>
      </c>
      <c r="E22" s="56">
        <f>12900+924500+4300</f>
        <v>941700</v>
      </c>
    </row>
    <row r="23" spans="2:5" s="5" customFormat="1" ht="15" customHeight="1">
      <c r="B23" s="27" t="s">
        <v>33</v>
      </c>
      <c r="C23" s="27">
        <v>200</v>
      </c>
      <c r="D23" s="28">
        <v>1060000</v>
      </c>
      <c r="E23" s="56">
        <f>645000</f>
        <v>645000</v>
      </c>
    </row>
    <row r="24" spans="2:5" s="5" customFormat="1" ht="15" customHeight="1">
      <c r="B24" s="27" t="s">
        <v>46</v>
      </c>
      <c r="C24" s="27">
        <v>129</v>
      </c>
      <c r="D24" s="28">
        <v>683700</v>
      </c>
      <c r="E24" s="56">
        <f>4300+520300</f>
        <v>524600</v>
      </c>
    </row>
    <row r="25" spans="2:5" s="5" customFormat="1" ht="15" customHeight="1" thickBot="1">
      <c r="B25" s="27" t="s">
        <v>47</v>
      </c>
      <c r="C25" s="27">
        <v>112</v>
      </c>
      <c r="D25" s="40">
        <v>593600</v>
      </c>
      <c r="E25" s="57">
        <f>4300+464400</f>
        <v>468700</v>
      </c>
    </row>
    <row r="26" spans="2:5" s="5" customFormat="1" ht="15" customHeight="1" thickBot="1">
      <c r="B26" s="41"/>
      <c r="C26" s="41">
        <f>SUM(C7:C25)</f>
        <v>4768</v>
      </c>
      <c r="D26" s="66">
        <f>SUM(D7:D25)</f>
        <v>25357600</v>
      </c>
      <c r="E26" s="61"/>
    </row>
    <row r="27" spans="2:5" ht="15.75" customHeight="1" hidden="1" thickBot="1">
      <c r="B27" s="58" t="s">
        <v>55</v>
      </c>
      <c r="C27" s="59"/>
      <c r="D27" s="62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1"/>
  <headerFooter alignWithMargins="0">
    <oddHeader>&amp;L&amp;"Book Antiqua,Negrita Cursiva"Asociación Nacional de Empleados 
             Poder Judicial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D28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4" width="11.421875" style="18" customWidth="1"/>
    <col min="5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73" t="s">
        <v>74</v>
      </c>
    </row>
    <row r="5" ht="13.5" thickBot="1"/>
    <row r="6" spans="2:4" s="17" customFormat="1" ht="28.5" customHeight="1" thickBot="1">
      <c r="B6" s="63" t="s">
        <v>64</v>
      </c>
      <c r="C6" s="65" t="s">
        <v>65</v>
      </c>
      <c r="D6" s="69" t="s">
        <v>66</v>
      </c>
    </row>
    <row r="7" spans="2:4" s="5" customFormat="1" ht="15" customHeight="1">
      <c r="B7" s="67"/>
      <c r="C7" s="27"/>
      <c r="D7" s="68"/>
    </row>
    <row r="8" spans="2:4" s="5" customFormat="1" ht="15" customHeight="1">
      <c r="B8" s="67"/>
      <c r="C8" s="27"/>
      <c r="D8" s="68"/>
    </row>
    <row r="9" spans="2:4" s="5" customFormat="1" ht="15" customHeight="1">
      <c r="B9" s="67"/>
      <c r="C9" s="27"/>
      <c r="D9" s="68"/>
    </row>
    <row r="10" spans="2:4" s="5" customFormat="1" ht="15" customHeight="1">
      <c r="B10" s="67"/>
      <c r="C10" s="27"/>
      <c r="D10" s="68"/>
    </row>
    <row r="11" spans="2:4" s="5" customFormat="1" ht="15" customHeight="1">
      <c r="B11" s="67"/>
      <c r="C11" s="27"/>
      <c r="D11" s="68"/>
    </row>
    <row r="12" spans="2:4" s="5" customFormat="1" ht="15" customHeight="1">
      <c r="B12" s="67"/>
      <c r="C12" s="27"/>
      <c r="D12" s="68"/>
    </row>
    <row r="13" spans="2:4" s="5" customFormat="1" ht="15" customHeight="1">
      <c r="B13" s="67"/>
      <c r="C13" s="27"/>
      <c r="D13" s="68"/>
    </row>
    <row r="14" spans="2:4" s="5" customFormat="1" ht="15" customHeight="1">
      <c r="B14" s="67"/>
      <c r="C14" s="27"/>
      <c r="D14" s="68"/>
    </row>
    <row r="15" spans="2:4" s="5" customFormat="1" ht="15" customHeight="1">
      <c r="B15" s="67"/>
      <c r="C15" s="27"/>
      <c r="D15" s="68"/>
    </row>
    <row r="16" spans="2:4" s="5" customFormat="1" ht="15" customHeight="1">
      <c r="B16" s="67"/>
      <c r="C16" s="27"/>
      <c r="D16" s="68"/>
    </row>
    <row r="17" spans="2:4" s="5" customFormat="1" ht="15" customHeight="1">
      <c r="B17" s="67"/>
      <c r="C17" s="27"/>
      <c r="D17" s="68"/>
    </row>
    <row r="18" spans="2:4" s="5" customFormat="1" ht="15" customHeight="1">
      <c r="B18" s="67"/>
      <c r="C18" s="27"/>
      <c r="D18" s="68"/>
    </row>
    <row r="19" spans="2:4" s="5" customFormat="1" ht="15" customHeight="1">
      <c r="B19" s="67"/>
      <c r="C19" s="27"/>
      <c r="D19" s="68"/>
    </row>
    <row r="20" spans="2:4" s="5" customFormat="1" ht="15" customHeight="1">
      <c r="B20" s="67"/>
      <c r="C20" s="27"/>
      <c r="D20" s="68"/>
    </row>
    <row r="21" spans="2:4" s="5" customFormat="1" ht="15" customHeight="1">
      <c r="B21" s="67"/>
      <c r="C21" s="27"/>
      <c r="D21" s="68"/>
    </row>
    <row r="22" spans="2:4" s="5" customFormat="1" ht="15" customHeight="1">
      <c r="B22" s="67"/>
      <c r="C22" s="27"/>
      <c r="D22" s="68"/>
    </row>
    <row r="23" spans="2:4" s="5" customFormat="1" ht="15" customHeight="1">
      <c r="B23" s="67"/>
      <c r="C23" s="27"/>
      <c r="D23" s="68"/>
    </row>
    <row r="24" spans="2:4" s="5" customFormat="1" ht="15" customHeight="1">
      <c r="B24" s="67"/>
      <c r="C24" s="27"/>
      <c r="D24" s="68"/>
    </row>
    <row r="25" spans="2:4" s="5" customFormat="1" ht="15" customHeight="1">
      <c r="B25" s="67"/>
      <c r="C25" s="27"/>
      <c r="D25" s="68"/>
    </row>
    <row r="26" spans="2:4" s="5" customFormat="1" ht="15" customHeight="1">
      <c r="B26" s="67"/>
      <c r="C26" s="27"/>
      <c r="D26" s="68"/>
    </row>
    <row r="27" spans="2:4" s="5" customFormat="1" ht="13.5" customHeight="1" thickBot="1">
      <c r="B27" s="70"/>
      <c r="C27" s="33"/>
      <c r="D27" s="71"/>
    </row>
    <row r="28" spans="2:4" s="5" customFormat="1" ht="15" customHeight="1" thickBot="1">
      <c r="B28" s="65"/>
      <c r="C28" s="64"/>
      <c r="D28" s="72">
        <f>SUM(D7:D27)</f>
        <v>0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2019-04-24T16:50:00Z</cp:lastPrinted>
  <dcterms:created xsi:type="dcterms:W3CDTF">2000-09-21T06:07:13Z</dcterms:created>
  <dcterms:modified xsi:type="dcterms:W3CDTF">2019-04-24T16:52:15Z</dcterms:modified>
  <cp:category/>
  <cp:version/>
  <cp:contentType/>
  <cp:contentStatus/>
</cp:coreProperties>
</file>