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firstSheet="1" activeTab="1"/>
  </bookViews>
  <sheets>
    <sheet name="XXXXXXX" sheetId="1" state="veryHidden" r:id="rId1"/>
    <sheet name="informe" sheetId="2" r:id="rId2"/>
    <sheet name="ANEXO" sheetId="3" r:id="rId3"/>
    <sheet name="RADIO TAXI" sheetId="4" r:id="rId4"/>
  </sheets>
  <definedNames>
    <definedName name="_xlnm.Print_Titles" localSheetId="1">'informe'!$7:$7</definedName>
    <definedName name="_xlnm.Print_Titles" localSheetId="3">'RADIO TAXI'!$1:$6</definedName>
  </definedNames>
  <calcPr fullCalcOnLoad="1"/>
</workbook>
</file>

<file path=xl/sharedStrings.xml><?xml version="1.0" encoding="utf-8"?>
<sst xmlns="http://schemas.openxmlformats.org/spreadsheetml/2006/main" count="370" uniqueCount="257">
  <si>
    <t>DESCRIPCION</t>
  </si>
  <si>
    <t>INGRESOS</t>
  </si>
  <si>
    <t>EGRESOS</t>
  </si>
  <si>
    <t>I  N  G  R  E  S  O  S:</t>
  </si>
  <si>
    <t>CUOTAS SOCIALES</t>
  </si>
  <si>
    <t>INGRESOS VARIOS</t>
  </si>
  <si>
    <t>HOGAR JUDICIAL</t>
  </si>
  <si>
    <t xml:space="preserve"> </t>
  </si>
  <si>
    <t>CENTROS VACACIONALES</t>
  </si>
  <si>
    <t>LONCURA</t>
  </si>
  <si>
    <t>E   G   R   E   S   O    S:</t>
  </si>
  <si>
    <t>GASTOS GENERALES</t>
  </si>
  <si>
    <t>COTIZACIONES</t>
  </si>
  <si>
    <t>ASOC. CH. SEG.</t>
  </si>
  <si>
    <t>TOTALES DEL MES</t>
  </si>
  <si>
    <t>SALDO ANTERIOR</t>
  </si>
  <si>
    <t>SUMAS</t>
  </si>
  <si>
    <t xml:space="preserve">                              INFORME TESORERIA NACIONAL</t>
  </si>
  <si>
    <t>AGUAS ANDINAS S.A.</t>
  </si>
  <si>
    <t>TESORERIA GENERAL DE LA REPUBLICA</t>
  </si>
  <si>
    <t>DEPARTAMENTO GREMIAL</t>
  </si>
  <si>
    <t>PASAJES</t>
  </si>
  <si>
    <t>OTROS</t>
  </si>
  <si>
    <t>AFP PROVIDA</t>
  </si>
  <si>
    <t>IMPUESTOS</t>
  </si>
  <si>
    <t xml:space="preserve">TELEFONICA CTC </t>
  </si>
  <si>
    <t>ASOC. REGIONAL CHILLAN</t>
  </si>
  <si>
    <t>CORPORACION ADMINISTRATIVA</t>
  </si>
  <si>
    <t>CESANTIA</t>
  </si>
  <si>
    <t>ASOC. REGIONAL LA SERENA</t>
  </si>
  <si>
    <t>SALDO ANTERIOR   $</t>
  </si>
  <si>
    <t>ASOC. REGIONAL IQUIQUE</t>
  </si>
  <si>
    <t>ASOC. REGIONAL TEMUCO</t>
  </si>
  <si>
    <t>ASOC. REGIONAL PUERTO MONTT</t>
  </si>
  <si>
    <t>ASOC. REGIONAL ANTOFAGASTA</t>
  </si>
  <si>
    <t>SOCIOS</t>
  </si>
  <si>
    <t>ASOC. REGIONAL ARICA</t>
  </si>
  <si>
    <t>ASOC. REGIONAL COPIAPO</t>
  </si>
  <si>
    <t>ASOC. REGIONAL VALPARAISO</t>
  </si>
  <si>
    <t>ASOC. REGIONAL SANTIAGO</t>
  </si>
  <si>
    <t>CORTE SUPREMA</t>
  </si>
  <si>
    <t>ASOC. REGIONAL SAN MIGUEL</t>
  </si>
  <si>
    <t>ASOC. REGIONAL RANCAGUA</t>
  </si>
  <si>
    <t>ASOC. REGIONAL TALCA</t>
  </si>
  <si>
    <t>ASOC. REGIONAL CONCEPCION</t>
  </si>
  <si>
    <t>ASOC. REGIONAL VALDIVIA</t>
  </si>
  <si>
    <t>ASOC. REGIONAL COYHAIQUE</t>
  </si>
  <si>
    <t>ASOC. REGIONAL PUNTA ARENAS</t>
  </si>
  <si>
    <t>DETALLE</t>
  </si>
  <si>
    <t>CHILQUINTA</t>
  </si>
  <si>
    <t xml:space="preserve">CAJA COMPENSACION </t>
  </si>
  <si>
    <t>DIRECTV</t>
  </si>
  <si>
    <t>COÑARIPE</t>
  </si>
  <si>
    <t>AYUDA REGIONAL</t>
  </si>
  <si>
    <t>TOTAL AYUDAS SOLIDARIAS</t>
  </si>
  <si>
    <t>PEDRO CACERES</t>
  </si>
  <si>
    <t>YEHIMY LLAMOCA</t>
  </si>
  <si>
    <t>FONDOS POR RENDIR</t>
  </si>
  <si>
    <t>ASOCIACION REGIONAL</t>
  </si>
  <si>
    <t xml:space="preserve">FECHA </t>
  </si>
  <si>
    <t>NOMBRE</t>
  </si>
  <si>
    <t>MONTO</t>
  </si>
  <si>
    <t>HONORARIOS</t>
  </si>
  <si>
    <t>IRIS URZUA URZUA</t>
  </si>
  <si>
    <t>SAESA S.A.</t>
  </si>
  <si>
    <t>HOGAR JUDICIAL A-B</t>
  </si>
  <si>
    <t>HOGAR JUDICIAL C</t>
  </si>
  <si>
    <t>VICTOR FUENTES</t>
  </si>
  <si>
    <t xml:space="preserve">DETALLE RADIO TAXI </t>
  </si>
  <si>
    <t>MARIA VALERIA</t>
  </si>
  <si>
    <t>JULIETA VEGA  HERRERA</t>
  </si>
  <si>
    <t>AFP PLANVITAL</t>
  </si>
  <si>
    <t>ISAPRE BANMEDICA</t>
  </si>
  <si>
    <t>ELBA QUEZADA</t>
  </si>
  <si>
    <t xml:space="preserve">CYNTHIA PAIRO </t>
  </si>
  <si>
    <t>JUAN CIRO LOPEZ</t>
  </si>
  <si>
    <t>PABLO MOLINA</t>
  </si>
  <si>
    <t>ANA CANEO</t>
  </si>
  <si>
    <t>NANCY CATRILAF</t>
  </si>
  <si>
    <t>AFP CUPRUM</t>
  </si>
  <si>
    <t>MARIA CRISTINA CABRERA MUÑOZ</t>
  </si>
  <si>
    <t>ENEL</t>
  </si>
  <si>
    <t>IPS</t>
  </si>
  <si>
    <t>RELACIONES PUBLICAS</t>
  </si>
  <si>
    <t>SANDRA ROJO</t>
  </si>
  <si>
    <t>WALESKA AGUILAR</t>
  </si>
  <si>
    <t>CASONA HOGAR</t>
  </si>
  <si>
    <t xml:space="preserve">IVONNE ITURRIAGA </t>
  </si>
  <si>
    <t xml:space="preserve">    SANDRA ROJO ARENAS</t>
  </si>
  <si>
    <t xml:space="preserve">           Tesorera Nacional</t>
  </si>
  <si>
    <t>CLAUDIO AROS</t>
  </si>
  <si>
    <t>RICARDO ALVAREZ</t>
  </si>
  <si>
    <t>MOVISTAR</t>
  </si>
  <si>
    <t>AGUAS ANGINAS</t>
  </si>
  <si>
    <t xml:space="preserve">CRISTINA SILVA </t>
  </si>
  <si>
    <t>LILIAN HUANCA</t>
  </si>
  <si>
    <t>AFP HABITAT</t>
  </si>
  <si>
    <t>AFP MODELO</t>
  </si>
  <si>
    <t>MAPFRE SEGUROS</t>
  </si>
  <si>
    <t>LATAM</t>
  </si>
  <si>
    <t>REGINA ACOSTA</t>
  </si>
  <si>
    <t>MANUEL ALVARADO</t>
  </si>
  <si>
    <t>KARIN MENDOZA</t>
  </si>
  <si>
    <t>DEPARTAMENTO DEPORTES</t>
  </si>
  <si>
    <t>ASOCIACIONES REGIONALES</t>
  </si>
  <si>
    <t>Inscripcion participantes</t>
  </si>
  <si>
    <t>Pago Celular Institucional</t>
  </si>
  <si>
    <t xml:space="preserve">Asesoria juridica </t>
  </si>
  <si>
    <t>Consumo Luz</t>
  </si>
  <si>
    <t>MARIO SALAZAR</t>
  </si>
  <si>
    <t>Consumo Agua</t>
  </si>
  <si>
    <t>TV Cable</t>
  </si>
  <si>
    <t>Tralados directores</t>
  </si>
  <si>
    <t>Aguas Manantial</t>
  </si>
  <si>
    <t>Articulos de Aseo</t>
  </si>
  <si>
    <t>Consumo Luz Coñaripe y Mehuin</t>
  </si>
  <si>
    <t>Telefonía Tesoreria</t>
  </si>
  <si>
    <t>Telefonía Hogar y Secretaría</t>
  </si>
  <si>
    <t>Consumo Luz Loncura</t>
  </si>
  <si>
    <t>consumo Agua</t>
  </si>
  <si>
    <t>Seguro incendio</t>
  </si>
  <si>
    <t>Internet y Cable  Loncura</t>
  </si>
  <si>
    <t>Mantención Cabaña Mehuin</t>
  </si>
  <si>
    <t>Fondos por Rendir</t>
  </si>
  <si>
    <t>CYNTHIA PAIRO</t>
  </si>
  <si>
    <t>Trabajos Mantención Coñaripe</t>
  </si>
  <si>
    <t>Asesoria Comité Ejecutivo</t>
  </si>
  <si>
    <t>Estadía</t>
  </si>
  <si>
    <t>GUILLERMO QUIROZ</t>
  </si>
  <si>
    <t>Recarga Cabaña Coñaripe</t>
  </si>
  <si>
    <t>Despacho llaves Cabañas Coñaripe</t>
  </si>
  <si>
    <t xml:space="preserve">RAUL ARAYA </t>
  </si>
  <si>
    <t>Supervisión trabajos Loncura</t>
  </si>
  <si>
    <t>16 detergentes lavados</t>
  </si>
  <si>
    <t>DEPARTAMENTO DEPORTE</t>
  </si>
  <si>
    <t>METLIFE</t>
  </si>
  <si>
    <t>Seguro Directorio</t>
  </si>
  <si>
    <t xml:space="preserve">Gas Hogar </t>
  </si>
  <si>
    <t xml:space="preserve"> ,</t>
  </si>
  <si>
    <t>Devolución erronea</t>
  </si>
  <si>
    <t>Septiembre</t>
  </si>
  <si>
    <t>CARLOS CACERES</t>
  </si>
  <si>
    <t>ANEJUD REGIONAL COYHAIQUE</t>
  </si>
  <si>
    <t>CLAUDIO RIQUELME</t>
  </si>
  <si>
    <t>HDI SEGUROS</t>
  </si>
  <si>
    <t>Seguros incendio</t>
  </si>
  <si>
    <t xml:space="preserve">SANDRA ROJO </t>
  </si>
  <si>
    <t>Cheque depositado devuelto Loncura</t>
  </si>
  <si>
    <t>Pje. Karina Mendoza</t>
  </si>
  <si>
    <t>RICARDO BERNAL</t>
  </si>
  <si>
    <t>Bebestible fiestas patrias</t>
  </si>
  <si>
    <t>LUIS ZUÑIGA</t>
  </si>
  <si>
    <t>SUELDOS Y AGUINALDOS</t>
  </si>
  <si>
    <t>OCTUBRE 2019</t>
  </si>
  <si>
    <t>JUAN ROJAS</t>
  </si>
  <si>
    <t>Mantención notebook Juan Villar</t>
  </si>
  <si>
    <t>CARLOS VERDUGO</t>
  </si>
  <si>
    <t>Asistencia Reuniones Septiembre</t>
  </si>
  <si>
    <t>Viático Asistencia Reunion septiembre</t>
  </si>
  <si>
    <t>Asistencia reunion 11 septiembre</t>
  </si>
  <si>
    <t>Traslado reunion septiembre</t>
  </si>
  <si>
    <t>Viáticos Asistencia reunión Septiembre</t>
  </si>
  <si>
    <t>DORIS ORTEGA</t>
  </si>
  <si>
    <t>Asesoria Logistica</t>
  </si>
  <si>
    <t>NAYARET QUEVEDO</t>
  </si>
  <si>
    <t>Asesoria Septiembre</t>
  </si>
  <si>
    <t>Viático Asistencia Reunión Septiembre</t>
  </si>
  <si>
    <t>PATRICIO LEIVA</t>
  </si>
  <si>
    <t>Lienzo y pendón Juegos</t>
  </si>
  <si>
    <t>50% Reembolso pasaje Movilización 11 Septiembre</t>
  </si>
  <si>
    <t>Servicio atenciones varias</t>
  </si>
  <si>
    <t>Reunión ISP Mujeres</t>
  </si>
  <si>
    <t>COMERCIAL PAZOS HNOS S.A.</t>
  </si>
  <si>
    <t>Abono 50 % trofeos</t>
  </si>
  <si>
    <t>Bencina corte pasto</t>
  </si>
  <si>
    <t>Reunión estatutos</t>
  </si>
  <si>
    <t>JONH ARAYA</t>
  </si>
  <si>
    <t>Ofrenda Floral Angela Caronna</t>
  </si>
  <si>
    <t>SANCHEZ CIA LTDA</t>
  </si>
  <si>
    <t>Materiales trabajo Loncura</t>
  </si>
  <si>
    <t>Pje. Juan Carlos Torrejon Juegos</t>
  </si>
  <si>
    <t>Pje. Lilian Huanca reunion DN Octubre</t>
  </si>
  <si>
    <t>COMITÉ DE AGUA POTABLE MEHUIN</t>
  </si>
  <si>
    <t>Consumo Agua Mehuin</t>
  </si>
  <si>
    <t>Compra materiales Loncura</t>
  </si>
  <si>
    <t xml:space="preserve">Compra Trofeos </t>
  </si>
  <si>
    <t>Mantención Cabaña Coñaripe</t>
  </si>
  <si>
    <t>Asistencia Reuniones 2 y 8 octubre</t>
  </si>
  <si>
    <t>Viáticos Asistencia Reuniones 2 y 8 octubre</t>
  </si>
  <si>
    <t>Deposito erroneo</t>
  </si>
  <si>
    <t>Almuerzo K.Mendoza y G. Quiroz 11 Sept.</t>
  </si>
  <si>
    <t>BELTRAN GALLARDO PEREIRA</t>
  </si>
  <si>
    <t>470 Cajas para medallas</t>
  </si>
  <si>
    <t>Asistencia Reunión  Directorio Septiembre</t>
  </si>
  <si>
    <t>Saldo trabajos baño 5 y 6</t>
  </si>
  <si>
    <t>Saldo trabajos electricos</t>
  </si>
  <si>
    <t xml:space="preserve">JACQUELINE ALCALDE </t>
  </si>
  <si>
    <t>Implementos juegos</t>
  </si>
  <si>
    <t>Evaluación impresora epson 2</t>
  </si>
  <si>
    <t>Diferencia fondos por Rendir asist sede juegos</t>
  </si>
  <si>
    <t>Compra pilas</t>
  </si>
  <si>
    <t>Asistencia Reuniones varias sept. Y oct</t>
  </si>
  <si>
    <t>Trabajo tesoreria y sistema juegos</t>
  </si>
  <si>
    <t>GUSTAVO ROJAS</t>
  </si>
  <si>
    <t>Asistencia CNJ 05/10</t>
  </si>
  <si>
    <t>Atención CNJ</t>
  </si>
  <si>
    <t>Retenciones e Impuesto único Septiembre</t>
  </si>
  <si>
    <t>Poleras</t>
  </si>
  <si>
    <t>Reemplazo encargado Hogar septiembre</t>
  </si>
  <si>
    <t>VICTOR CARTAGENA</t>
  </si>
  <si>
    <t>Trabajos varios</t>
  </si>
  <si>
    <t>Pje. Manuel Alvarado</t>
  </si>
  <si>
    <t>Viáticos ips mujeres 16 oct</t>
  </si>
  <si>
    <t>Tripticos si tu me acosas</t>
  </si>
  <si>
    <t>SOC. INMOBILIARIA Y COM. GLADYS</t>
  </si>
  <si>
    <t>Arriendo Gimnasio Asturias</t>
  </si>
  <si>
    <t>Recepción Licencia Ana Caneo</t>
  </si>
  <si>
    <t xml:space="preserve">ALVARO PARDOW </t>
  </si>
  <si>
    <t>Asesoria Servicio web</t>
  </si>
  <si>
    <t>Movilización Reunión Trofeos</t>
  </si>
  <si>
    <t>Viático reunión trofeos</t>
  </si>
  <si>
    <t>VIVIANA ORELLANA</t>
  </si>
  <si>
    <t xml:space="preserve">ANGELICA JANEAUD </t>
  </si>
  <si>
    <t xml:space="preserve">TERESA DIAZ </t>
  </si>
  <si>
    <t>Asistencia ISP mujeres 16 oct</t>
  </si>
  <si>
    <t>MARCELA VARGAS GOMEZ</t>
  </si>
  <si>
    <t>Ofrenda Floral mamá Sra. Eliana</t>
  </si>
  <si>
    <t xml:space="preserve">Recepción pulseras </t>
  </si>
  <si>
    <t>ANEJUD REGIONAL ANTOFAGASTA</t>
  </si>
  <si>
    <t>50% Reembolso pasaje movilización 11 Septiembre</t>
  </si>
  <si>
    <t>Aseo septiembre y octubre</t>
  </si>
  <si>
    <t xml:space="preserve">Arts. Para desratizar </t>
  </si>
  <si>
    <t>Octubre</t>
  </si>
  <si>
    <t>Atención Reunión Directorio sept. Y oct</t>
  </si>
  <si>
    <t>DIAZ VALDES Y CIA LTDA</t>
  </si>
  <si>
    <t>Asistencia reunión septiembre y octubre</t>
  </si>
  <si>
    <t>Refrigerio sept y octubre</t>
  </si>
  <si>
    <t>Viáticos 23 y 24 oct</t>
  </si>
  <si>
    <t>Pasaje asistencia juegos</t>
  </si>
  <si>
    <t>Asist. Reunion Directorio y varios sept.</t>
  </si>
  <si>
    <t>Viático Asist. Reunión Directorio y varios sept.</t>
  </si>
  <si>
    <t>Visita sede Juegos Deportivos</t>
  </si>
  <si>
    <t>Dispensadores Toalla, jabon y confort</t>
  </si>
  <si>
    <t>ANDRES SALINAS</t>
  </si>
  <si>
    <t>Abono 50% ventana Loncura</t>
  </si>
  <si>
    <t>Servicios audiovisuales Septiembre y octubre</t>
  </si>
  <si>
    <t>Asistencia Reunión Directorio Octubre</t>
  </si>
  <si>
    <t>Viático 21 al 25 oct</t>
  </si>
  <si>
    <t>Impto. Unico sept. y oct</t>
  </si>
  <si>
    <t>HOTEL MELILLANCA</t>
  </si>
  <si>
    <t xml:space="preserve">Devolución </t>
  </si>
  <si>
    <t>ACHS</t>
  </si>
  <si>
    <t>Devolución ACHS</t>
  </si>
  <si>
    <t>SALDO EN CTA. CTE. AL 31/10/2019</t>
  </si>
  <si>
    <t>SANTIAGO, NOVIEMBRE 2019</t>
  </si>
  <si>
    <t>vale repetido N° 98</t>
  </si>
  <si>
    <t>N° VALE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</si>
</sst>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* #,##0.00_-;\-&quot;$&quot;* #,##0.00_-;_-&quot;$&quot;* &quot;-&quot;??_-;_-@_-"/>
    <numFmt numFmtId="181" formatCode="#,##0;[Red]#,##0"/>
    <numFmt numFmtId="182" formatCode="&quot;$&quot;#,##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6"/>
      <name val="Times New Roman"/>
      <family val="1"/>
    </font>
    <font>
      <b/>
      <sz val="9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/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>
        <color indexed="63"/>
      </left>
      <right style="medium">
        <color indexed="16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indexed="16"/>
      </left>
      <right style="medium">
        <color theme="5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800000"/>
      </left>
      <right style="medium">
        <color rgb="FF800000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4999699890613556"/>
      </bottom>
    </border>
    <border>
      <left style="thin">
        <color indexed="16"/>
      </left>
      <right style="medium">
        <color theme="5" tint="-0.4999699890613556"/>
      </right>
      <top>
        <color indexed="63"/>
      </top>
      <bottom>
        <color indexed="63"/>
      </bottom>
    </border>
    <border>
      <left style="medium">
        <color rgb="FF800000"/>
      </left>
      <right style="medium">
        <color rgb="FF800000"/>
      </right>
      <top>
        <color indexed="63"/>
      </top>
      <bottom style="medium">
        <color theme="5" tint="-0.4999699890613556"/>
      </bottom>
    </border>
    <border>
      <left style="medium">
        <color theme="5" tint="-0.4999699890613556"/>
      </left>
      <right style="medium">
        <color indexed="16"/>
      </right>
      <top>
        <color indexed="63"/>
      </top>
      <bottom style="medium">
        <color theme="5" tint="-0.4999699890613556"/>
      </bottom>
    </border>
    <border>
      <left style="medium">
        <color indexed="16"/>
      </left>
      <right style="medium">
        <color theme="5" tint="-0.4999699890613556"/>
      </right>
      <top>
        <color indexed="63"/>
      </top>
      <bottom style="medium">
        <color theme="5" tint="-0.4999699890613556"/>
      </bottom>
    </border>
    <border>
      <left style="thin">
        <color indexed="16"/>
      </left>
      <right style="medium">
        <color indexed="16"/>
      </right>
      <top>
        <color indexed="63"/>
      </top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81" fontId="8" fillId="32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181" fontId="13" fillId="0" borderId="13" xfId="0" applyNumberFormat="1" applyFont="1" applyFill="1" applyBorder="1" applyAlignment="1">
      <alignment/>
    </xf>
    <xf numFmtId="181" fontId="13" fillId="0" borderId="13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81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181" fontId="6" fillId="34" borderId="19" xfId="0" applyNumberFormat="1" applyFont="1" applyFill="1" applyBorder="1" applyAlignment="1">
      <alignment horizontal="right"/>
    </xf>
    <xf numFmtId="181" fontId="6" fillId="34" borderId="16" xfId="0" applyNumberFormat="1" applyFont="1" applyFill="1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81" fontId="8" fillId="33" borderId="24" xfId="0" applyNumberFormat="1" applyFont="1" applyFill="1" applyBorder="1" applyAlignment="1">
      <alignment/>
    </xf>
    <xf numFmtId="181" fontId="2" fillId="0" borderId="25" xfId="0" applyNumberFormat="1" applyFont="1" applyFill="1" applyBorder="1" applyAlignment="1">
      <alignment/>
    </xf>
    <xf numFmtId="181" fontId="4" fillId="0" borderId="25" xfId="0" applyNumberFormat="1" applyFont="1" applyFill="1" applyBorder="1" applyAlignment="1">
      <alignment/>
    </xf>
    <xf numFmtId="0" fontId="8" fillId="32" borderId="26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0" fontId="8" fillId="32" borderId="10" xfId="0" applyFont="1" applyFill="1" applyBorder="1" applyAlignment="1">
      <alignment horizontal="center" wrapText="1"/>
    </xf>
    <xf numFmtId="181" fontId="4" fillId="32" borderId="28" xfId="0" applyNumberFormat="1" applyFont="1" applyFill="1" applyBorder="1" applyAlignment="1">
      <alignment/>
    </xf>
    <xf numFmtId="0" fontId="7" fillId="32" borderId="28" xfId="0" applyFont="1" applyFill="1" applyBorder="1" applyAlignment="1">
      <alignment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181" fontId="3" fillId="33" borderId="16" xfId="0" applyNumberFormat="1" applyFont="1" applyFill="1" applyBorder="1" applyAlignment="1">
      <alignment/>
    </xf>
    <xf numFmtId="16" fontId="2" fillId="0" borderId="2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8" fillId="33" borderId="24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181" fontId="4" fillId="0" borderId="30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/>
    </xf>
    <xf numFmtId="181" fontId="6" fillId="34" borderId="31" xfId="0" applyNumberFormat="1" applyFont="1" applyFill="1" applyBorder="1" applyAlignment="1">
      <alignment horizontal="right"/>
    </xf>
    <xf numFmtId="0" fontId="6" fillId="34" borderId="3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81" fontId="3" fillId="0" borderId="35" xfId="0" applyNumberFormat="1" applyFont="1" applyFill="1" applyBorder="1" applyAlignment="1">
      <alignment/>
    </xf>
    <xf numFmtId="181" fontId="3" fillId="0" borderId="36" xfId="0" applyNumberFormat="1" applyFont="1" applyFill="1" applyBorder="1" applyAlignment="1">
      <alignment/>
    </xf>
    <xf numFmtId="181" fontId="3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81" fontId="3" fillId="0" borderId="39" xfId="0" applyNumberFormat="1" applyFont="1" applyFill="1" applyBorder="1" applyAlignment="1">
      <alignment/>
    </xf>
    <xf numFmtId="181" fontId="2" fillId="0" borderId="39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181" fontId="3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181" fontId="4" fillId="0" borderId="40" xfId="0" applyNumberFormat="1" applyFont="1" applyFill="1" applyBorder="1" applyAlignment="1">
      <alignment/>
    </xf>
    <xf numFmtId="181" fontId="3" fillId="0" borderId="42" xfId="0" applyNumberFormat="1" applyFont="1" applyFill="1" applyBorder="1" applyAlignment="1">
      <alignment/>
    </xf>
    <xf numFmtId="181" fontId="2" fillId="0" borderId="40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181" fontId="3" fillId="0" borderId="44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181" fontId="3" fillId="0" borderId="46" xfId="0" applyNumberFormat="1" applyFont="1" applyFill="1" applyBorder="1" applyAlignment="1">
      <alignment/>
    </xf>
    <xf numFmtId="181" fontId="3" fillId="0" borderId="41" xfId="0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187" fontId="8" fillId="33" borderId="24" xfId="0" applyNumberFormat="1" applyFont="1" applyFill="1" applyBorder="1" applyAlignment="1">
      <alignment horizontal="center"/>
    </xf>
    <xf numFmtId="181" fontId="2" fillId="0" borderId="4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1200150</xdr:colOff>
      <xdr:row>3</xdr:row>
      <xdr:rowOff>28575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rcRect t="11503"/>
        <a:stretch>
          <a:fillRect/>
        </a:stretch>
      </xdr:blipFill>
      <xdr:spPr>
        <a:xfrm>
          <a:off x="19050" y="0"/>
          <a:ext cx="1323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76200</xdr:colOff>
      <xdr:row>1</xdr:row>
      <xdr:rowOff>257175</xdr:rowOff>
    </xdr:to>
    <xdr:pic>
      <xdr:nvPicPr>
        <xdr:cNvPr id="1" name="Picture 1" descr="LOGO NUEVO ANEJUD 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209"/>
  <sheetViews>
    <sheetView tabSelected="1" zoomScalePageLayoutView="0" workbookViewId="0" topLeftCell="A1">
      <pane ySplit="7" topLeftCell="A96" activePane="bottomLeft" state="frozen"/>
      <selection pane="topLeft" activeCell="A1" sqref="A1"/>
      <selection pane="bottomLeft" activeCell="G176" sqref="G176"/>
    </sheetView>
  </sheetViews>
  <sheetFormatPr defaultColWidth="11.421875" defaultRowHeight="12.75" outlineLevelRow="2"/>
  <cols>
    <col min="1" max="1" width="2.140625" style="1" customWidth="1"/>
    <col min="2" max="2" width="42.28125" style="1" customWidth="1"/>
    <col min="3" max="3" width="7.28125" style="1" hidden="1" customWidth="1"/>
    <col min="4" max="4" width="37.8515625" style="1" customWidth="1"/>
    <col min="5" max="5" width="14.140625" style="1" customWidth="1"/>
    <col min="6" max="6" width="13.421875" style="1" customWidth="1"/>
    <col min="7" max="7" width="14.00390625" style="1" customWidth="1"/>
    <col min="8" max="16384" width="11.421875" style="1" customWidth="1"/>
  </cols>
  <sheetData>
    <row r="1" ht="11.25"/>
    <row r="2" ht="11.25"/>
    <row r="3" ht="11.25"/>
    <row r="4" spans="2:7" ht="22.5" customHeight="1">
      <c r="B4" s="33" t="s">
        <v>17</v>
      </c>
      <c r="C4" s="2"/>
      <c r="D4" s="2"/>
      <c r="E4" s="3"/>
      <c r="F4" s="4"/>
      <c r="G4" s="4"/>
    </row>
    <row r="5" spans="2:7" ht="14.25">
      <c r="B5" s="34" t="s">
        <v>153</v>
      </c>
      <c r="C5" s="10"/>
      <c r="D5" s="10"/>
      <c r="E5" s="3"/>
      <c r="F5" s="4"/>
      <c r="G5" s="4"/>
    </row>
    <row r="6" spans="4:7" ht="12.75" thickBot="1">
      <c r="D6" s="23"/>
      <c r="E6" s="35"/>
      <c r="F6" s="36" t="s">
        <v>30</v>
      </c>
      <c r="G6" s="35">
        <v>114932044</v>
      </c>
    </row>
    <row r="7" spans="2:7" ht="24" customHeight="1" thickBot="1">
      <c r="B7" s="40" t="s">
        <v>0</v>
      </c>
      <c r="C7" s="78" t="s">
        <v>35</v>
      </c>
      <c r="D7" s="40" t="s">
        <v>48</v>
      </c>
      <c r="E7" s="40"/>
      <c r="F7" s="40" t="s">
        <v>1</v>
      </c>
      <c r="G7" s="40" t="s">
        <v>2</v>
      </c>
    </row>
    <row r="8" spans="1:7" ht="12" outlineLevel="2">
      <c r="A8" s="5"/>
      <c r="B8" s="29" t="s">
        <v>3</v>
      </c>
      <c r="C8" s="79"/>
      <c r="D8" s="30"/>
      <c r="E8" s="24"/>
      <c r="F8" s="24"/>
      <c r="G8" s="24"/>
    </row>
    <row r="9" spans="1:7" ht="11.25" outlineLevel="2">
      <c r="A9" s="5"/>
      <c r="B9" s="30"/>
      <c r="C9" s="79"/>
      <c r="D9" s="30"/>
      <c r="E9" s="25"/>
      <c r="F9" s="37"/>
      <c r="G9" s="25"/>
    </row>
    <row r="10" spans="1:7" ht="15.75" customHeight="1" outlineLevel="2">
      <c r="A10" s="5"/>
      <c r="B10" s="31" t="s">
        <v>4</v>
      </c>
      <c r="C10" s="32"/>
      <c r="D10" s="45"/>
      <c r="E10" s="39"/>
      <c r="F10" s="38">
        <f>SUM(E11:E29)</f>
        <v>26269910</v>
      </c>
      <c r="G10" s="26"/>
    </row>
    <row r="11" spans="1:7" ht="15" customHeight="1" hidden="1" outlineLevel="2">
      <c r="A11" s="5"/>
      <c r="B11" s="27" t="s">
        <v>36</v>
      </c>
      <c r="C11" s="27">
        <v>87</v>
      </c>
      <c r="D11" s="20"/>
      <c r="E11" s="28">
        <f>478500-5500</f>
        <v>473000</v>
      </c>
      <c r="F11" s="6"/>
      <c r="G11" s="26"/>
    </row>
    <row r="12" spans="1:7" ht="15" customHeight="1" hidden="1" outlineLevel="2">
      <c r="A12" s="5"/>
      <c r="B12" s="27" t="s">
        <v>31</v>
      </c>
      <c r="C12" s="27">
        <v>123</v>
      </c>
      <c r="D12" s="20"/>
      <c r="E12" s="28">
        <v>671000</v>
      </c>
      <c r="F12" s="6"/>
      <c r="G12" s="26"/>
    </row>
    <row r="13" spans="1:7" ht="15" customHeight="1" hidden="1" outlineLevel="2">
      <c r="A13" s="5"/>
      <c r="B13" s="27" t="s">
        <v>34</v>
      </c>
      <c r="C13" s="27">
        <f>249+1</f>
        <v>250</v>
      </c>
      <c r="D13" s="20"/>
      <c r="E13" s="28">
        <f>1369500+5500</f>
        <v>1375000</v>
      </c>
      <c r="F13" s="6"/>
      <c r="G13" s="26"/>
    </row>
    <row r="14" spans="1:7" ht="15" customHeight="1" hidden="1" outlineLevel="2">
      <c r="A14" s="5"/>
      <c r="B14" s="27" t="s">
        <v>37</v>
      </c>
      <c r="C14" s="27">
        <v>169</v>
      </c>
      <c r="D14" s="20"/>
      <c r="E14" s="28">
        <v>929500</v>
      </c>
      <c r="F14" s="6"/>
      <c r="G14" s="26"/>
    </row>
    <row r="15" spans="1:7" ht="15" customHeight="1" hidden="1" outlineLevel="2">
      <c r="A15" s="5"/>
      <c r="B15" s="27" t="s">
        <v>29</v>
      </c>
      <c r="C15" s="27">
        <v>185</v>
      </c>
      <c r="D15" s="20"/>
      <c r="E15" s="28">
        <v>1023000</v>
      </c>
      <c r="F15" s="6"/>
      <c r="G15" s="26"/>
    </row>
    <row r="16" spans="1:7" ht="15" customHeight="1" hidden="1" outlineLevel="2">
      <c r="A16" s="5"/>
      <c r="B16" s="27" t="s">
        <v>38</v>
      </c>
      <c r="C16" s="27">
        <f>1+502+1</f>
        <v>504</v>
      </c>
      <c r="D16" s="20"/>
      <c r="E16" s="28">
        <f>2200+6360+2761000</f>
        <v>2769560</v>
      </c>
      <c r="F16" s="6"/>
      <c r="G16" s="26"/>
    </row>
    <row r="17" spans="1:7" ht="15" customHeight="1" hidden="1" outlineLevel="2">
      <c r="A17" s="5"/>
      <c r="B17" s="27" t="s">
        <v>39</v>
      </c>
      <c r="C17" s="27">
        <f>1+1+2+1+1+1+1+635</f>
        <v>643</v>
      </c>
      <c r="D17" s="20"/>
      <c r="E17" s="28">
        <f>26840+53800+44000+5500+22000+2200+2200+3492500</f>
        <v>3649040</v>
      </c>
      <c r="F17" s="6"/>
      <c r="G17" s="26"/>
    </row>
    <row r="18" spans="1:7" ht="15" customHeight="1" hidden="1" outlineLevel="2">
      <c r="A18" s="5"/>
      <c r="B18" s="27" t="s">
        <v>40</v>
      </c>
      <c r="C18" s="27">
        <v>142</v>
      </c>
      <c r="D18" s="20"/>
      <c r="E18" s="28">
        <v>781000</v>
      </c>
      <c r="F18" s="6"/>
      <c r="G18" s="26"/>
    </row>
    <row r="19" spans="1:7" ht="15" customHeight="1" hidden="1" outlineLevel="2">
      <c r="A19" s="5"/>
      <c r="B19" s="27" t="s">
        <v>27</v>
      </c>
      <c r="C19" s="27">
        <f>179</f>
        <v>179</v>
      </c>
      <c r="D19" s="20"/>
      <c r="E19" s="28">
        <v>984500</v>
      </c>
      <c r="F19" s="6"/>
      <c r="G19" s="26"/>
    </row>
    <row r="20" spans="1:7" ht="15" customHeight="1" hidden="1" outlineLevel="2">
      <c r="A20" s="5"/>
      <c r="B20" s="27" t="s">
        <v>41</v>
      </c>
      <c r="C20" s="27">
        <v>389</v>
      </c>
      <c r="D20" s="20"/>
      <c r="E20" s="28">
        <f>2139500</f>
        <v>2139500</v>
      </c>
      <c r="F20" s="6"/>
      <c r="G20" s="26"/>
    </row>
    <row r="21" spans="1:7" ht="15" customHeight="1" hidden="1" outlineLevel="2">
      <c r="A21" s="5"/>
      <c r="B21" s="27" t="s">
        <v>42</v>
      </c>
      <c r="C21" s="27">
        <f>1+175+1</f>
        <v>177</v>
      </c>
      <c r="D21" s="20"/>
      <c r="E21" s="28">
        <f>5100+962500+2750</f>
        <v>970350</v>
      </c>
      <c r="F21" s="6"/>
      <c r="G21" s="26"/>
    </row>
    <row r="22" spans="1:7" ht="15" customHeight="1" hidden="1" outlineLevel="2">
      <c r="A22" s="5"/>
      <c r="B22" s="27" t="s">
        <v>43</v>
      </c>
      <c r="C22" s="27">
        <f>1+1+335+1+1</f>
        <v>339</v>
      </c>
      <c r="D22" s="20"/>
      <c r="E22" s="28">
        <f>5500+17520+1842500+16500+5500</f>
        <v>1887520</v>
      </c>
      <c r="F22" s="6"/>
      <c r="G22" s="26"/>
    </row>
    <row r="23" spans="1:7" ht="15" customHeight="1" hidden="1" outlineLevel="2">
      <c r="A23" s="5"/>
      <c r="B23" s="27" t="s">
        <v>26</v>
      </c>
      <c r="C23" s="27">
        <f>105+1+1</f>
        <v>107</v>
      </c>
      <c r="D23" s="20"/>
      <c r="E23" s="28">
        <f>577500+2200+2040</f>
        <v>581740</v>
      </c>
      <c r="F23" s="6"/>
      <c r="G23" s="26"/>
    </row>
    <row r="24" spans="1:7" ht="15" customHeight="1" hidden="1" outlineLevel="2">
      <c r="A24" s="5"/>
      <c r="B24" s="27" t="s">
        <v>44</v>
      </c>
      <c r="C24" s="27">
        <f>1+1+1+1+1+469+1</f>
        <v>475</v>
      </c>
      <c r="D24" s="20"/>
      <c r="E24" s="28">
        <f>2120+8480+10600+1600+13200+2579500+2200</f>
        <v>2617700</v>
      </c>
      <c r="F24" s="6"/>
      <c r="G24" s="26"/>
    </row>
    <row r="25" spans="1:7" ht="15" customHeight="1" hidden="1" outlineLevel="2">
      <c r="A25" s="5"/>
      <c r="B25" s="27" t="s">
        <v>32</v>
      </c>
      <c r="C25" s="27">
        <v>296</v>
      </c>
      <c r="D25" s="20"/>
      <c r="E25" s="28">
        <v>1622500</v>
      </c>
      <c r="F25" s="6"/>
      <c r="G25" s="26"/>
    </row>
    <row r="26" spans="1:7" ht="15" customHeight="1" hidden="1" outlineLevel="2">
      <c r="A26" s="5"/>
      <c r="B26" s="27" t="s">
        <v>45</v>
      </c>
      <c r="C26" s="27">
        <v>241</v>
      </c>
      <c r="D26" s="20"/>
      <c r="E26" s="28">
        <v>1325500</v>
      </c>
      <c r="F26" s="6"/>
      <c r="G26" s="26"/>
    </row>
    <row r="27" spans="1:7" ht="15" customHeight="1" hidden="1" outlineLevel="2">
      <c r="A27" s="5"/>
      <c r="B27" s="27" t="s">
        <v>33</v>
      </c>
      <c r="C27" s="27">
        <v>201</v>
      </c>
      <c r="D27" s="20"/>
      <c r="E27" s="28">
        <v>1105500</v>
      </c>
      <c r="F27" s="6"/>
      <c r="G27" s="26"/>
    </row>
    <row r="28" spans="1:7" ht="15" customHeight="1" hidden="1" outlineLevel="2">
      <c r="A28" s="5"/>
      <c r="B28" s="27" t="s">
        <v>46</v>
      </c>
      <c r="C28" s="27">
        <v>132</v>
      </c>
      <c r="D28" s="20"/>
      <c r="E28" s="28">
        <f>726000</f>
        <v>726000</v>
      </c>
      <c r="F28" s="6"/>
      <c r="G28" s="26"/>
    </row>
    <row r="29" spans="1:7" ht="14.25" customHeight="1" hidden="1" outlineLevel="2">
      <c r="A29" s="5"/>
      <c r="B29" s="27" t="s">
        <v>47</v>
      </c>
      <c r="C29" s="27">
        <v>116</v>
      </c>
      <c r="D29" s="20"/>
      <c r="E29" s="39">
        <v>638000</v>
      </c>
      <c r="F29" s="6"/>
      <c r="G29" s="26"/>
    </row>
    <row r="30" spans="1:7" ht="12" customHeight="1" outlineLevel="2">
      <c r="A30" s="43"/>
      <c r="B30" s="70"/>
      <c r="C30" s="5"/>
      <c r="D30" s="32"/>
      <c r="E30" s="39"/>
      <c r="F30" s="6"/>
      <c r="G30" s="26"/>
    </row>
    <row r="31" spans="1:7" ht="15" customHeight="1" outlineLevel="2">
      <c r="A31" s="43"/>
      <c r="B31" s="42" t="s">
        <v>5</v>
      </c>
      <c r="C31" s="11"/>
      <c r="D31" s="32"/>
      <c r="E31" s="28"/>
      <c r="F31" s="6"/>
      <c r="G31" s="26"/>
    </row>
    <row r="32" spans="1:7" ht="15" customHeight="1" outlineLevel="2">
      <c r="A32" s="5"/>
      <c r="B32" s="27" t="s">
        <v>65</v>
      </c>
      <c r="C32" s="27"/>
      <c r="D32" s="43" t="s">
        <v>127</v>
      </c>
      <c r="E32" s="28">
        <f>20000+30000+30000+10000+30000+10000+10000+30000+60000+15000+40000+20000+20000+20000+30000+30000+13333+13333+15000+13333+29400+22000+13333+10000+15000+20000+20000+20000+10000+25000+13333+30000+15000+15000+20000+20000+13333+15000+28333+10000+16667+20000+20000+16667</f>
        <v>898065</v>
      </c>
      <c r="F32" s="6"/>
      <c r="G32" s="26"/>
    </row>
    <row r="33" spans="1:7" ht="15" customHeight="1" outlineLevel="2">
      <c r="A33" s="5"/>
      <c r="B33" s="27" t="s">
        <v>66</v>
      </c>
      <c r="C33" s="27"/>
      <c r="D33" s="43" t="s">
        <v>127</v>
      </c>
      <c r="E33" s="28">
        <f>70000+20000+20000+20000+40000+20000+20000+15000+50000+25000+20000+20000+20000+20000+45000+13333+30000+15000+15000+15000+15000+15000+30000+23333+20000+10000</f>
        <v>626666</v>
      </c>
      <c r="F33" s="6"/>
      <c r="G33" s="26"/>
    </row>
    <row r="34" spans="1:7" ht="15" customHeight="1" outlineLevel="2">
      <c r="A34" s="5"/>
      <c r="B34" s="27" t="s">
        <v>251</v>
      </c>
      <c r="C34" s="27"/>
      <c r="D34" s="43" t="s">
        <v>252</v>
      </c>
      <c r="E34" s="28">
        <v>26945</v>
      </c>
      <c r="F34" s="6"/>
      <c r="G34" s="26"/>
    </row>
    <row r="35" spans="1:7" ht="15" customHeight="1" outlineLevel="2">
      <c r="A35" s="5"/>
      <c r="B35" s="27" t="s">
        <v>39</v>
      </c>
      <c r="C35" s="27"/>
      <c r="D35" s="43" t="s">
        <v>248</v>
      </c>
      <c r="E35" s="28">
        <f>40000+40000</f>
        <v>80000</v>
      </c>
      <c r="F35" s="6"/>
      <c r="G35" s="26"/>
    </row>
    <row r="36" spans="1:7" ht="15" customHeight="1" outlineLevel="2">
      <c r="A36" s="5"/>
      <c r="B36" s="27" t="s">
        <v>84</v>
      </c>
      <c r="C36" s="27"/>
      <c r="D36" s="43" t="s">
        <v>139</v>
      </c>
      <c r="E36" s="39">
        <v>50530</v>
      </c>
      <c r="F36" s="6">
        <f>SUM(E32:E36)</f>
        <v>1682206</v>
      </c>
      <c r="G36" s="26"/>
    </row>
    <row r="37" spans="1:7" ht="15" customHeight="1" outlineLevel="2">
      <c r="A37" s="5"/>
      <c r="B37" s="27"/>
      <c r="C37" s="27"/>
      <c r="D37" s="43"/>
      <c r="E37" s="39"/>
      <c r="F37" s="6"/>
      <c r="G37" s="26"/>
    </row>
    <row r="38" spans="1:7" ht="15" customHeight="1" outlineLevel="2">
      <c r="A38" s="5"/>
      <c r="B38" s="31" t="s">
        <v>103</v>
      </c>
      <c r="C38" s="27"/>
      <c r="D38" s="43"/>
      <c r="E38" s="39"/>
      <c r="F38" s="6"/>
      <c r="G38" s="26"/>
    </row>
    <row r="39" spans="1:7" ht="15" customHeight="1" outlineLevel="2">
      <c r="A39" s="5"/>
      <c r="B39" s="27" t="s">
        <v>104</v>
      </c>
      <c r="C39" s="27"/>
      <c r="D39" s="43" t="s">
        <v>105</v>
      </c>
      <c r="E39" s="28">
        <f>4840000+1250000+715000+3375000+2750000+1540000+1370000+2500000+1510000+3740000</f>
        <v>23590000</v>
      </c>
      <c r="F39" s="6"/>
      <c r="G39" s="26"/>
    </row>
    <row r="40" spans="1:7" ht="15" customHeight="1" outlineLevel="2">
      <c r="A40" s="5"/>
      <c r="B40" s="27" t="s">
        <v>249</v>
      </c>
      <c r="C40" s="27"/>
      <c r="D40" s="43" t="s">
        <v>250</v>
      </c>
      <c r="E40" s="39">
        <v>5000000</v>
      </c>
      <c r="F40" s="6">
        <f>SUM(E39:E40)</f>
        <v>28590000</v>
      </c>
      <c r="G40" s="26"/>
    </row>
    <row r="41" spans="1:7" ht="15" customHeight="1" outlineLevel="2">
      <c r="A41" s="5"/>
      <c r="B41" s="27"/>
      <c r="C41" s="27"/>
      <c r="D41" s="43"/>
      <c r="E41" s="39"/>
      <c r="F41" s="6"/>
      <c r="G41" s="26"/>
    </row>
    <row r="42" spans="1:7" ht="15" customHeight="1" outlineLevel="2">
      <c r="A42" s="5" t="s">
        <v>7</v>
      </c>
      <c r="B42" s="31" t="s">
        <v>8</v>
      </c>
      <c r="C42" s="32"/>
      <c r="D42" s="45"/>
      <c r="E42" s="28"/>
      <c r="F42" s="6"/>
      <c r="G42" s="26"/>
    </row>
    <row r="43" spans="1:7" ht="15" customHeight="1" outlineLevel="2">
      <c r="A43" s="5"/>
      <c r="B43" s="27" t="s">
        <v>52</v>
      </c>
      <c r="C43" s="32"/>
      <c r="D43" s="43" t="s">
        <v>127</v>
      </c>
      <c r="E43" s="28">
        <f>105000+36000+30000+30000+36000+100000+30000+30000+41000+42000+30000+110000</f>
        <v>620000</v>
      </c>
      <c r="F43" s="6"/>
      <c r="G43" s="27"/>
    </row>
    <row r="44" spans="1:7" ht="15" customHeight="1" outlineLevel="2" thickBot="1">
      <c r="A44" s="5"/>
      <c r="B44" s="90" t="s">
        <v>9</v>
      </c>
      <c r="C44" s="90"/>
      <c r="D44" s="92" t="s">
        <v>127</v>
      </c>
      <c r="E44" s="93">
        <f>99225+99225+55300+116200+164025+48220+85050+110607+83400+60000+162882+378350+53415+29185+50625+47000+63998+55125+63788+45563+268040+62015+67035+53156+47105+70875+56700+35502+60750+42073+45800+88600+87800+70875+53100+54675</f>
        <v>3035284</v>
      </c>
      <c r="F44" s="94">
        <f>SUM(E43:E44)</f>
        <v>3655284</v>
      </c>
      <c r="G44" s="91"/>
    </row>
    <row r="45" spans="1:7" ht="12" outlineLevel="2">
      <c r="A45" s="5"/>
      <c r="B45" s="41" t="s">
        <v>10</v>
      </c>
      <c r="C45" s="27"/>
      <c r="D45" s="43"/>
      <c r="E45" s="27"/>
      <c r="F45" s="6"/>
      <c r="G45" s="26"/>
    </row>
    <row r="46" spans="1:7" ht="15" customHeight="1" outlineLevel="2">
      <c r="A46" s="5"/>
      <c r="B46" s="31" t="s">
        <v>11</v>
      </c>
      <c r="C46" s="27"/>
      <c r="D46" s="45"/>
      <c r="E46" s="28"/>
      <c r="F46" s="6"/>
      <c r="G46" s="26"/>
    </row>
    <row r="47" spans="1:7" ht="14.25" customHeight="1" outlineLevel="2">
      <c r="A47" s="5"/>
      <c r="B47" s="27" t="s">
        <v>69</v>
      </c>
      <c r="C47" s="27"/>
      <c r="D47" s="43" t="s">
        <v>113</v>
      </c>
      <c r="E47" s="28">
        <v>41733</v>
      </c>
      <c r="F47" s="6"/>
      <c r="G47" s="26"/>
    </row>
    <row r="48" spans="1:7" ht="14.25" customHeight="1" outlineLevel="2">
      <c r="A48" s="5"/>
      <c r="B48" s="27" t="s">
        <v>154</v>
      </c>
      <c r="C48" s="27"/>
      <c r="D48" s="43" t="s">
        <v>155</v>
      </c>
      <c r="E48" s="28">
        <v>20000</v>
      </c>
      <c r="F48" s="6"/>
      <c r="G48" s="26"/>
    </row>
    <row r="49" spans="1:7" ht="14.25" customHeight="1" outlineLevel="2">
      <c r="A49" s="5"/>
      <c r="B49" s="27" t="s">
        <v>217</v>
      </c>
      <c r="C49" s="27"/>
      <c r="D49" s="43" t="s">
        <v>218</v>
      </c>
      <c r="E49" s="28">
        <v>80000</v>
      </c>
      <c r="F49" s="6"/>
      <c r="G49" s="26"/>
    </row>
    <row r="50" spans="1:7" ht="14.25" customHeight="1" outlineLevel="2">
      <c r="A50" s="5"/>
      <c r="B50" s="27" t="s">
        <v>146</v>
      </c>
      <c r="C50" s="27"/>
      <c r="D50" s="43" t="s">
        <v>189</v>
      </c>
      <c r="E50" s="28">
        <v>50530</v>
      </c>
      <c r="F50" s="6"/>
      <c r="G50" s="26"/>
    </row>
    <row r="51" spans="1:7" ht="14.25" customHeight="1" outlineLevel="2">
      <c r="A51" s="5"/>
      <c r="B51" s="27" t="s">
        <v>69</v>
      </c>
      <c r="C51" s="27"/>
      <c r="D51" s="43" t="s">
        <v>198</v>
      </c>
      <c r="E51" s="28">
        <v>14000</v>
      </c>
      <c r="F51" s="6"/>
      <c r="G51" s="26"/>
    </row>
    <row r="52" spans="1:7" ht="14.25" customHeight="1" outlineLevel="2">
      <c r="A52" s="5"/>
      <c r="B52" s="27" t="s">
        <v>69</v>
      </c>
      <c r="C52" s="27"/>
      <c r="D52" s="43" t="s">
        <v>216</v>
      </c>
      <c r="E52" s="28">
        <v>5899</v>
      </c>
      <c r="F52" s="6"/>
      <c r="G52" s="26"/>
    </row>
    <row r="53" spans="1:7" ht="14.25" customHeight="1" outlineLevel="2">
      <c r="A53" s="5"/>
      <c r="B53" s="27" t="s">
        <v>135</v>
      </c>
      <c r="C53" s="27"/>
      <c r="D53" s="43" t="s">
        <v>136</v>
      </c>
      <c r="E53" s="28">
        <v>41251</v>
      </c>
      <c r="F53" s="6"/>
      <c r="G53" s="26"/>
    </row>
    <row r="54" spans="1:7" ht="15" customHeight="1" outlineLevel="2">
      <c r="A54" s="5"/>
      <c r="B54" s="27" t="s">
        <v>18</v>
      </c>
      <c r="C54" s="27"/>
      <c r="D54" s="43" t="s">
        <v>119</v>
      </c>
      <c r="E54" s="28">
        <v>62800</v>
      </c>
      <c r="F54" s="6"/>
      <c r="G54" s="26"/>
    </row>
    <row r="55" spans="1:7" ht="15" customHeight="1" outlineLevel="2">
      <c r="A55" s="5"/>
      <c r="B55" s="27" t="s">
        <v>81</v>
      </c>
      <c r="C55" s="27"/>
      <c r="D55" s="43" t="s">
        <v>108</v>
      </c>
      <c r="E55" s="28">
        <v>284167</v>
      </c>
      <c r="F55" s="6"/>
      <c r="G55" s="26"/>
    </row>
    <row r="56" spans="1:7" ht="15" customHeight="1" outlineLevel="2">
      <c r="A56" s="5"/>
      <c r="B56" s="27" t="s">
        <v>25</v>
      </c>
      <c r="C56" s="27"/>
      <c r="D56" s="43" t="s">
        <v>117</v>
      </c>
      <c r="E56" s="28">
        <f>31802+64488</f>
        <v>96290</v>
      </c>
      <c r="F56" s="6"/>
      <c r="G56" s="26"/>
    </row>
    <row r="57" spans="1:7" ht="15" customHeight="1" outlineLevel="2">
      <c r="A57" s="5"/>
      <c r="B57" s="27" t="s">
        <v>25</v>
      </c>
      <c r="C57" s="27"/>
      <c r="D57" s="43" t="s">
        <v>116</v>
      </c>
      <c r="E57" s="39">
        <v>28734</v>
      </c>
      <c r="F57" s="6"/>
      <c r="G57" s="26">
        <f>SUM(E47:E57)</f>
        <v>725404</v>
      </c>
    </row>
    <row r="58" spans="1:7" ht="15" customHeight="1" outlineLevel="2">
      <c r="A58" s="5"/>
      <c r="B58" s="27"/>
      <c r="C58" s="27"/>
      <c r="D58" s="43"/>
      <c r="E58" s="39"/>
      <c r="F58" s="6"/>
      <c r="G58" s="26"/>
    </row>
    <row r="59" spans="1:7" ht="15" customHeight="1" outlineLevel="2">
      <c r="A59" s="5"/>
      <c r="B59" s="31" t="s">
        <v>8</v>
      </c>
      <c r="C59" s="27"/>
      <c r="D59" s="45"/>
      <c r="E59" s="28"/>
      <c r="F59" s="6"/>
      <c r="G59" s="26"/>
    </row>
    <row r="60" spans="1:7" ht="14.25" customHeight="1" outlineLevel="2">
      <c r="A60" s="5"/>
      <c r="B60" s="27" t="s">
        <v>149</v>
      </c>
      <c r="C60" s="27"/>
      <c r="D60" s="43" t="s">
        <v>150</v>
      </c>
      <c r="E60" s="28">
        <v>188863</v>
      </c>
      <c r="F60" s="6"/>
      <c r="G60" s="26"/>
    </row>
    <row r="61" spans="1:7" ht="14.25" customHeight="1" outlineLevel="2">
      <c r="A61" s="5"/>
      <c r="B61" s="27" t="s">
        <v>178</v>
      </c>
      <c r="C61" s="27"/>
      <c r="D61" s="43" t="s">
        <v>179</v>
      </c>
      <c r="E61" s="28">
        <v>581994</v>
      </c>
      <c r="F61" s="6"/>
      <c r="G61" s="26"/>
    </row>
    <row r="62" spans="1:7" ht="14.25" customHeight="1" outlineLevel="2">
      <c r="A62" s="5"/>
      <c r="B62" s="27" t="s">
        <v>243</v>
      </c>
      <c r="C62" s="27"/>
      <c r="D62" s="43" t="s">
        <v>244</v>
      </c>
      <c r="E62" s="28">
        <v>69379</v>
      </c>
      <c r="F62" s="6"/>
      <c r="G62" s="26"/>
    </row>
    <row r="63" spans="1:7" ht="14.25" customHeight="1" outlineLevel="2">
      <c r="A63" s="5"/>
      <c r="B63" s="27" t="s">
        <v>182</v>
      </c>
      <c r="C63" s="27"/>
      <c r="D63" s="43" t="s">
        <v>183</v>
      </c>
      <c r="E63" s="28">
        <v>11900</v>
      </c>
      <c r="F63" s="6"/>
      <c r="G63" s="26"/>
    </row>
    <row r="64" spans="1:7" ht="14.25" customHeight="1" outlineLevel="2">
      <c r="A64" s="5"/>
      <c r="B64" s="27" t="s">
        <v>75</v>
      </c>
      <c r="C64" s="27"/>
      <c r="D64" s="43" t="s">
        <v>184</v>
      </c>
      <c r="E64" s="28">
        <v>10350</v>
      </c>
      <c r="F64" s="6"/>
      <c r="G64" s="26"/>
    </row>
    <row r="65" spans="1:7" ht="14.25" customHeight="1" outlineLevel="2">
      <c r="A65" s="5"/>
      <c r="B65" s="27" t="s">
        <v>221</v>
      </c>
      <c r="C65" s="27"/>
      <c r="D65" s="43" t="s">
        <v>147</v>
      </c>
      <c r="E65" s="28">
        <v>53100</v>
      </c>
      <c r="F65" s="6"/>
      <c r="G65" s="26"/>
    </row>
    <row r="66" spans="1:7" ht="14.25" customHeight="1" outlineLevel="2">
      <c r="A66" s="5"/>
      <c r="B66" s="27" t="s">
        <v>223</v>
      </c>
      <c r="C66" s="27"/>
      <c r="D66" s="43" t="s">
        <v>147</v>
      </c>
      <c r="E66" s="28">
        <v>87800</v>
      </c>
      <c r="F66" s="6"/>
      <c r="G66" s="26"/>
    </row>
    <row r="67" spans="1:7" ht="14.25" customHeight="1" outlineLevel="2">
      <c r="A67" s="5"/>
      <c r="B67" s="27" t="s">
        <v>222</v>
      </c>
      <c r="C67" s="27"/>
      <c r="D67" s="43" t="s">
        <v>147</v>
      </c>
      <c r="E67" s="28">
        <v>70875</v>
      </c>
      <c r="F67" s="6"/>
      <c r="G67" s="26"/>
    </row>
    <row r="68" spans="1:7" ht="14.25" customHeight="1" outlineLevel="2">
      <c r="A68" s="5"/>
      <c r="B68" s="27" t="s">
        <v>151</v>
      </c>
      <c r="C68" s="27"/>
      <c r="D68" s="43" t="s">
        <v>186</v>
      </c>
      <c r="E68" s="28">
        <v>80000</v>
      </c>
      <c r="F68" s="6"/>
      <c r="G68" s="26"/>
    </row>
    <row r="69" spans="1:7" ht="14.25" customHeight="1" outlineLevel="2">
      <c r="A69" s="5"/>
      <c r="B69" s="27" t="s">
        <v>69</v>
      </c>
      <c r="C69" s="27"/>
      <c r="D69" s="43" t="s">
        <v>129</v>
      </c>
      <c r="E69" s="28">
        <f>5000+5000+2000</f>
        <v>12000</v>
      </c>
      <c r="F69" s="6"/>
      <c r="G69" s="26"/>
    </row>
    <row r="70" spans="1:7" ht="14.25" customHeight="1" outlineLevel="2">
      <c r="A70" s="5"/>
      <c r="B70" s="27" t="s">
        <v>69</v>
      </c>
      <c r="C70" s="27"/>
      <c r="D70" s="43" t="s">
        <v>130</v>
      </c>
      <c r="E70" s="28">
        <f>8616+8938+5417</f>
        <v>22971</v>
      </c>
      <c r="F70" s="6"/>
      <c r="G70" s="26"/>
    </row>
    <row r="71" spans="1:7" ht="15" customHeight="1" outlineLevel="2">
      <c r="A71" s="5"/>
      <c r="B71" s="27" t="s">
        <v>131</v>
      </c>
      <c r="C71" s="27"/>
      <c r="D71" s="43" t="s">
        <v>132</v>
      </c>
      <c r="E71" s="28">
        <v>49490</v>
      </c>
      <c r="F71" s="6"/>
      <c r="G71" s="26"/>
    </row>
    <row r="72" spans="1:7" ht="15" customHeight="1" outlineLevel="2">
      <c r="A72" s="5"/>
      <c r="B72" s="27" t="s">
        <v>124</v>
      </c>
      <c r="C72" s="27"/>
      <c r="D72" s="43" t="s">
        <v>174</v>
      </c>
      <c r="E72" s="28">
        <v>3000</v>
      </c>
      <c r="F72" s="6"/>
      <c r="G72" s="26"/>
    </row>
    <row r="73" spans="1:7" ht="15" customHeight="1" outlineLevel="2">
      <c r="A73" s="5"/>
      <c r="B73" s="27" t="s">
        <v>144</v>
      </c>
      <c r="C73" s="27"/>
      <c r="D73" s="43" t="s">
        <v>145</v>
      </c>
      <c r="E73" s="28">
        <v>23856</v>
      </c>
      <c r="F73" s="6"/>
      <c r="G73" s="26"/>
    </row>
    <row r="74" spans="1:7" ht="15" customHeight="1" outlineLevel="2">
      <c r="A74" s="5"/>
      <c r="B74" s="27" t="s">
        <v>78</v>
      </c>
      <c r="C74" s="27"/>
      <c r="D74" s="43" t="s">
        <v>125</v>
      </c>
      <c r="E74" s="28">
        <v>150000</v>
      </c>
      <c r="F74" s="6"/>
      <c r="G74" s="26"/>
    </row>
    <row r="75" spans="1:7" ht="15" customHeight="1" outlineLevel="2">
      <c r="A75" s="5"/>
      <c r="B75" s="27" t="s">
        <v>70</v>
      </c>
      <c r="C75" s="27"/>
      <c r="D75" s="43" t="s">
        <v>122</v>
      </c>
      <c r="E75" s="28">
        <v>25000</v>
      </c>
      <c r="F75" s="6"/>
      <c r="G75" s="26"/>
    </row>
    <row r="76" spans="1:7" ht="15" customHeight="1" outlineLevel="2">
      <c r="A76" s="5"/>
      <c r="B76" s="27" t="s">
        <v>64</v>
      </c>
      <c r="C76" s="27"/>
      <c r="D76" s="43" t="s">
        <v>115</v>
      </c>
      <c r="E76" s="28">
        <f>30700+1300+33200</f>
        <v>65200</v>
      </c>
      <c r="F76" s="6"/>
      <c r="G76" s="26"/>
    </row>
    <row r="77" spans="1:7" ht="15" customHeight="1" outlineLevel="2">
      <c r="A77" s="5"/>
      <c r="B77" s="27" t="s">
        <v>92</v>
      </c>
      <c r="C77" s="27"/>
      <c r="D77" s="43" t="s">
        <v>121</v>
      </c>
      <c r="E77" s="28">
        <f>49460+5210</f>
        <v>54670</v>
      </c>
      <c r="F77" s="6"/>
      <c r="G77" s="26"/>
    </row>
    <row r="78" spans="1:7" ht="15" customHeight="1" outlineLevel="2" thickBot="1">
      <c r="A78" s="86"/>
      <c r="B78" s="99" t="s">
        <v>49</v>
      </c>
      <c r="C78" s="92"/>
      <c r="D78" s="92" t="s">
        <v>118</v>
      </c>
      <c r="E78" s="93">
        <v>590043</v>
      </c>
      <c r="F78" s="100"/>
      <c r="G78" s="101">
        <f>SUM(E60:E78)</f>
        <v>2150491</v>
      </c>
    </row>
    <row r="79" spans="1:7" ht="15" customHeight="1" outlineLevel="2">
      <c r="A79" s="5"/>
      <c r="B79" s="31" t="s">
        <v>19</v>
      </c>
      <c r="C79" s="27"/>
      <c r="D79" s="43"/>
      <c r="E79" s="28"/>
      <c r="F79" s="85"/>
      <c r="G79" s="44"/>
    </row>
    <row r="80" spans="1:7" ht="15" customHeight="1" outlineLevel="2">
      <c r="A80" s="5"/>
      <c r="B80" s="27" t="s">
        <v>24</v>
      </c>
      <c r="C80" s="43"/>
      <c r="D80" s="43" t="s">
        <v>206</v>
      </c>
      <c r="E80" s="39">
        <v>814456</v>
      </c>
      <c r="F80" s="85"/>
      <c r="G80" s="44">
        <f>SUM(E80:F80)</f>
        <v>814456</v>
      </c>
    </row>
    <row r="81" spans="1:7" ht="15" customHeight="1" outlineLevel="2">
      <c r="A81" s="5"/>
      <c r="B81" s="27"/>
      <c r="C81" s="27"/>
      <c r="D81" s="43"/>
      <c r="E81" s="39"/>
      <c r="F81" s="85"/>
      <c r="G81" s="44"/>
    </row>
    <row r="82" spans="1:7" ht="15" customHeight="1" outlineLevel="2">
      <c r="A82" s="5"/>
      <c r="B82" s="31" t="s">
        <v>62</v>
      </c>
      <c r="C82" s="43"/>
      <c r="D82" s="43"/>
      <c r="E82" s="39"/>
      <c r="F82" s="85"/>
      <c r="G82" s="44"/>
    </row>
    <row r="83" spans="1:7" ht="15" customHeight="1" outlineLevel="2">
      <c r="A83" s="5"/>
      <c r="B83" s="27" t="s">
        <v>80</v>
      </c>
      <c r="C83" s="43"/>
      <c r="D83" s="43" t="s">
        <v>107</v>
      </c>
      <c r="E83" s="28">
        <v>900000</v>
      </c>
      <c r="F83" s="85"/>
      <c r="G83" s="44"/>
    </row>
    <row r="84" spans="1:7" ht="15" customHeight="1" outlineLevel="2">
      <c r="A84" s="86"/>
      <c r="B84" s="43" t="s">
        <v>156</v>
      </c>
      <c r="C84" s="43"/>
      <c r="D84" s="43" t="s">
        <v>245</v>
      </c>
      <c r="E84" s="28">
        <f>250000+250000</f>
        <v>500000</v>
      </c>
      <c r="F84" s="85"/>
      <c r="G84" s="44"/>
    </row>
    <row r="85" spans="1:7" ht="15" customHeight="1" outlineLevel="2">
      <c r="A85" s="86"/>
      <c r="B85" s="43" t="s">
        <v>162</v>
      </c>
      <c r="C85" s="43"/>
      <c r="D85" s="43" t="s">
        <v>163</v>
      </c>
      <c r="E85" s="28">
        <v>600000</v>
      </c>
      <c r="F85" s="85"/>
      <c r="G85" s="44"/>
    </row>
    <row r="86" spans="1:7" ht="15" customHeight="1" outlineLevel="2">
      <c r="A86" s="86"/>
      <c r="B86" s="43" t="s">
        <v>164</v>
      </c>
      <c r="C86" s="43"/>
      <c r="D86" s="43" t="s">
        <v>165</v>
      </c>
      <c r="E86" s="28">
        <v>656894</v>
      </c>
      <c r="F86" s="85"/>
      <c r="G86" s="44"/>
    </row>
    <row r="87" spans="1:7" ht="15" customHeight="1" outlineLevel="2">
      <c r="A87" s="86"/>
      <c r="B87" s="43" t="s">
        <v>94</v>
      </c>
      <c r="C87" s="43"/>
      <c r="D87" s="43" t="s">
        <v>126</v>
      </c>
      <c r="E87" s="39">
        <v>450000</v>
      </c>
      <c r="F87" s="85"/>
      <c r="G87" s="44">
        <f>SUM(E83:E87)</f>
        <v>3106894</v>
      </c>
    </row>
    <row r="88" spans="1:7" ht="15" customHeight="1" outlineLevel="2">
      <c r="A88" s="86"/>
      <c r="B88" s="43"/>
      <c r="C88" s="43"/>
      <c r="D88" s="43"/>
      <c r="E88" s="39"/>
      <c r="F88" s="85"/>
      <c r="G88" s="44"/>
    </row>
    <row r="89" spans="1:7" ht="15" customHeight="1" outlineLevel="2">
      <c r="A89" s="86"/>
      <c r="B89" s="42" t="s">
        <v>134</v>
      </c>
      <c r="C89" s="43"/>
      <c r="D89" s="43"/>
      <c r="E89" s="39"/>
      <c r="F89" s="85"/>
      <c r="G89" s="44"/>
    </row>
    <row r="90" spans="1:7" ht="15" customHeight="1" outlineLevel="2">
      <c r="A90" s="86"/>
      <c r="B90" s="43" t="s">
        <v>167</v>
      </c>
      <c r="C90" s="43"/>
      <c r="D90" s="43" t="s">
        <v>168</v>
      </c>
      <c r="E90" s="28">
        <v>119000</v>
      </c>
      <c r="F90" s="85"/>
      <c r="G90" s="44"/>
    </row>
    <row r="91" spans="1:7" ht="15" customHeight="1" outlineLevel="2">
      <c r="A91" s="86"/>
      <c r="B91" s="43" t="s">
        <v>172</v>
      </c>
      <c r="C91" s="43"/>
      <c r="D91" s="43" t="s">
        <v>173</v>
      </c>
      <c r="E91" s="28">
        <f>868979+888495</f>
        <v>1757474</v>
      </c>
      <c r="F91" s="85"/>
      <c r="G91" s="44"/>
    </row>
    <row r="92" spans="1:7" ht="15" customHeight="1" outlineLevel="2">
      <c r="A92" s="86"/>
      <c r="B92" s="43" t="s">
        <v>124</v>
      </c>
      <c r="C92" s="43"/>
      <c r="D92" s="43" t="s">
        <v>185</v>
      </c>
      <c r="E92" s="28">
        <v>24640</v>
      </c>
      <c r="F92" s="85"/>
      <c r="G92" s="44"/>
    </row>
    <row r="93" spans="1:7" ht="15" customHeight="1" outlineLevel="2">
      <c r="A93" s="86"/>
      <c r="B93" s="43" t="s">
        <v>214</v>
      </c>
      <c r="C93" s="43"/>
      <c r="D93" s="43" t="s">
        <v>215</v>
      </c>
      <c r="E93" s="28">
        <v>404600</v>
      </c>
      <c r="F93" s="85"/>
      <c r="G93" s="44"/>
    </row>
    <row r="94" spans="1:7" ht="15" customHeight="1" outlineLevel="2">
      <c r="A94" s="86"/>
      <c r="B94" s="43" t="s">
        <v>69</v>
      </c>
      <c r="C94" s="43"/>
      <c r="D94" s="43" t="s">
        <v>227</v>
      </c>
      <c r="E94" s="28">
        <v>11134</v>
      </c>
      <c r="F94" s="85"/>
      <c r="G94" s="44"/>
    </row>
    <row r="95" spans="1:7" ht="15" customHeight="1" outlineLevel="2">
      <c r="A95" s="86"/>
      <c r="B95" s="43" t="s">
        <v>143</v>
      </c>
      <c r="C95" s="43"/>
      <c r="D95" s="43" t="s">
        <v>207</v>
      </c>
      <c r="E95" s="28">
        <v>441252</v>
      </c>
      <c r="F95" s="85"/>
      <c r="G95" s="44"/>
    </row>
    <row r="96" spans="1:7" ht="15" customHeight="1" outlineLevel="2">
      <c r="A96" s="86"/>
      <c r="B96" s="43" t="s">
        <v>191</v>
      </c>
      <c r="C96" s="43"/>
      <c r="D96" s="43" t="s">
        <v>192</v>
      </c>
      <c r="E96" s="28">
        <v>841187</v>
      </c>
      <c r="F96" s="85"/>
      <c r="G96" s="44"/>
    </row>
    <row r="97" spans="1:7" ht="15" customHeight="1" outlineLevel="2">
      <c r="A97" s="86"/>
      <c r="B97" s="43" t="s">
        <v>196</v>
      </c>
      <c r="C97" s="43"/>
      <c r="D97" s="43" t="s">
        <v>197</v>
      </c>
      <c r="E97" s="39">
        <v>129974</v>
      </c>
      <c r="F97" s="85"/>
      <c r="G97" s="44">
        <f>SUM(E90:E97)</f>
        <v>3729261</v>
      </c>
    </row>
    <row r="98" spans="1:7" ht="15" customHeight="1" outlineLevel="2">
      <c r="A98" s="86"/>
      <c r="B98" s="43"/>
      <c r="C98" s="43"/>
      <c r="D98" s="43"/>
      <c r="E98" s="39"/>
      <c r="F98" s="85"/>
      <c r="G98" s="44"/>
    </row>
    <row r="99" spans="1:7" ht="15" customHeight="1" outlineLevel="2">
      <c r="A99" s="86"/>
      <c r="B99" s="42" t="s">
        <v>20</v>
      </c>
      <c r="C99" s="43"/>
      <c r="D99" s="43"/>
      <c r="E99" s="28"/>
      <c r="F99" s="85"/>
      <c r="G99" s="44"/>
    </row>
    <row r="100" spans="1:7" ht="15" customHeight="1" outlineLevel="2">
      <c r="A100" s="5"/>
      <c r="B100" s="31" t="s">
        <v>21</v>
      </c>
      <c r="C100" s="43"/>
      <c r="D100" s="43"/>
      <c r="E100" s="28"/>
      <c r="F100" s="6"/>
      <c r="G100" s="26"/>
    </row>
    <row r="101" spans="1:7" ht="15" customHeight="1" outlineLevel="2">
      <c r="A101" s="5"/>
      <c r="B101" s="27" t="s">
        <v>102</v>
      </c>
      <c r="C101" s="43"/>
      <c r="D101" s="43" t="s">
        <v>160</v>
      </c>
      <c r="E101" s="28">
        <v>7000</v>
      </c>
      <c r="F101" s="6"/>
      <c r="G101" s="26"/>
    </row>
    <row r="102" spans="1:7" ht="15" customHeight="1" outlineLevel="2">
      <c r="A102" s="5"/>
      <c r="B102" s="27" t="s">
        <v>102</v>
      </c>
      <c r="C102" s="43"/>
      <c r="D102" s="43" t="s">
        <v>187</v>
      </c>
      <c r="E102" s="28">
        <f>7000+7000+7000+7000</f>
        <v>28000</v>
      </c>
      <c r="F102" s="6"/>
      <c r="G102" s="26"/>
    </row>
    <row r="103" spans="1:7" ht="15" customHeight="1" outlineLevel="2">
      <c r="A103" s="5"/>
      <c r="B103" s="27" t="s">
        <v>63</v>
      </c>
      <c r="C103" s="43"/>
      <c r="D103" s="43" t="s">
        <v>171</v>
      </c>
      <c r="E103" s="28">
        <v>21640</v>
      </c>
      <c r="F103" s="6"/>
      <c r="G103" s="26"/>
    </row>
    <row r="104" spans="1:7" ht="15" customHeight="1" outlineLevel="2">
      <c r="A104" s="5"/>
      <c r="B104" s="27" t="s">
        <v>63</v>
      </c>
      <c r="C104" s="43"/>
      <c r="D104" s="43" t="s">
        <v>224</v>
      </c>
      <c r="E104" s="28">
        <v>8690</v>
      </c>
      <c r="F104" s="6"/>
      <c r="G104" s="26"/>
    </row>
    <row r="105" spans="1:7" ht="15" customHeight="1" outlineLevel="2">
      <c r="A105" s="5"/>
      <c r="B105" s="27" t="s">
        <v>87</v>
      </c>
      <c r="C105" s="43"/>
      <c r="D105" s="43" t="s">
        <v>235</v>
      </c>
      <c r="E105" s="28">
        <f>2000+4000+2350+2770+4000+2000+4000+6740+2250+4000</f>
        <v>34110</v>
      </c>
      <c r="F105" s="6"/>
      <c r="G105" s="26"/>
    </row>
    <row r="106" spans="1:7" ht="15" customHeight="1" outlineLevel="2">
      <c r="A106" s="5"/>
      <c r="B106" s="27" t="s">
        <v>87</v>
      </c>
      <c r="C106" s="43"/>
      <c r="D106" s="43" t="s">
        <v>238</v>
      </c>
      <c r="E106" s="28">
        <v>7000</v>
      </c>
      <c r="F106" s="6"/>
      <c r="G106" s="26"/>
    </row>
    <row r="107" spans="1:7" ht="15" customHeight="1" outlineLevel="2">
      <c r="A107" s="5"/>
      <c r="B107" s="27" t="s">
        <v>128</v>
      </c>
      <c r="C107" s="43"/>
      <c r="D107" s="43" t="s">
        <v>201</v>
      </c>
      <c r="E107" s="28">
        <v>76780</v>
      </c>
      <c r="F107" s="6"/>
      <c r="G107" s="26"/>
    </row>
    <row r="108" spans="1:7" ht="15" customHeight="1" outlineLevel="2">
      <c r="A108" s="5"/>
      <c r="B108" s="27" t="s">
        <v>101</v>
      </c>
      <c r="C108" s="43"/>
      <c r="D108" s="43" t="s">
        <v>246</v>
      </c>
      <c r="E108" s="28">
        <v>92016</v>
      </c>
      <c r="F108" s="6"/>
      <c r="G108" s="26"/>
    </row>
    <row r="109" spans="1:7" ht="15" customHeight="1" outlineLevel="2">
      <c r="A109" s="5"/>
      <c r="B109" s="27" t="s">
        <v>101</v>
      </c>
      <c r="C109" s="43"/>
      <c r="D109" s="43" t="s">
        <v>193</v>
      </c>
      <c r="E109" s="28">
        <v>38000</v>
      </c>
      <c r="F109" s="6"/>
      <c r="G109" s="26"/>
    </row>
    <row r="110" spans="1:7" ht="15" customHeight="1" outlineLevel="2">
      <c r="A110" s="5"/>
      <c r="B110" s="27" t="s">
        <v>101</v>
      </c>
      <c r="C110" s="43"/>
      <c r="D110" s="43" t="s">
        <v>159</v>
      </c>
      <c r="E110" s="28">
        <v>35000</v>
      </c>
      <c r="F110" s="6"/>
      <c r="G110" s="26"/>
    </row>
    <row r="111" spans="1:7" ht="15" customHeight="1" outlineLevel="2" thickBot="1">
      <c r="A111" s="5"/>
      <c r="B111" s="90" t="s">
        <v>84</v>
      </c>
      <c r="C111" s="92"/>
      <c r="D111" s="92" t="s">
        <v>157</v>
      </c>
      <c r="E111" s="95">
        <f>7700+3000+7700</f>
        <v>18400</v>
      </c>
      <c r="F111" s="94"/>
      <c r="G111" s="91"/>
    </row>
    <row r="112" spans="1:7" ht="15" customHeight="1" outlineLevel="2">
      <c r="A112" s="5"/>
      <c r="B112" s="27" t="s">
        <v>84</v>
      </c>
      <c r="C112" s="43"/>
      <c r="D112" s="43" t="s">
        <v>202</v>
      </c>
      <c r="E112" s="28">
        <v>18040</v>
      </c>
      <c r="F112" s="6"/>
      <c r="G112" s="26"/>
    </row>
    <row r="113" spans="1:7" ht="15" customHeight="1" outlineLevel="2">
      <c r="A113" s="5"/>
      <c r="B113" s="27" t="s">
        <v>84</v>
      </c>
      <c r="C113" s="43"/>
      <c r="D113" s="43" t="s">
        <v>219</v>
      </c>
      <c r="E113" s="28">
        <f>7700+7700+5000</f>
        <v>20400</v>
      </c>
      <c r="F113" s="6"/>
      <c r="G113" s="26"/>
    </row>
    <row r="114" spans="1:7" ht="15" customHeight="1" outlineLevel="2">
      <c r="A114" s="5"/>
      <c r="B114" s="27" t="s">
        <v>91</v>
      </c>
      <c r="C114" s="43"/>
      <c r="D114" s="43" t="s">
        <v>239</v>
      </c>
      <c r="E114" s="28">
        <f>107532+37706+3000</f>
        <v>148238</v>
      </c>
      <c r="F114" s="6"/>
      <c r="G114" s="26"/>
    </row>
    <row r="115" spans="1:7" ht="15" customHeight="1" outlineLevel="2">
      <c r="A115" s="5"/>
      <c r="B115" s="32" t="s">
        <v>22</v>
      </c>
      <c r="C115" s="43"/>
      <c r="D115" s="43"/>
      <c r="E115" s="28"/>
      <c r="F115" s="6"/>
      <c r="G115" s="26"/>
    </row>
    <row r="116" spans="1:7" ht="15" customHeight="1" outlineLevel="2">
      <c r="A116" s="5"/>
      <c r="B116" s="27" t="s">
        <v>91</v>
      </c>
      <c r="C116" s="43"/>
      <c r="D116" s="43" t="s">
        <v>241</v>
      </c>
      <c r="E116" s="28">
        <v>31680</v>
      </c>
      <c r="F116" s="6"/>
      <c r="G116" s="26"/>
    </row>
    <row r="117" spans="1:7" ht="15" customHeight="1" outlineLevel="2">
      <c r="A117" s="5"/>
      <c r="B117" s="27" t="s">
        <v>91</v>
      </c>
      <c r="C117" s="43"/>
      <c r="D117" s="43" t="s">
        <v>240</v>
      </c>
      <c r="E117" s="28">
        <f>11000+11000+11000+8500</f>
        <v>41500</v>
      </c>
      <c r="F117" s="6"/>
      <c r="G117" s="26"/>
    </row>
    <row r="118" spans="1:7" ht="15" customHeight="1" outlineLevel="2">
      <c r="A118" s="5"/>
      <c r="B118" s="27" t="s">
        <v>84</v>
      </c>
      <c r="C118" s="43"/>
      <c r="D118" s="43" t="s">
        <v>199</v>
      </c>
      <c r="E118" s="28">
        <v>11930</v>
      </c>
      <c r="F118" s="6"/>
      <c r="G118" s="26"/>
    </row>
    <row r="119" spans="1:7" ht="15" customHeight="1" outlineLevel="2">
      <c r="A119" s="5"/>
      <c r="B119" s="27" t="s">
        <v>84</v>
      </c>
      <c r="C119" s="43"/>
      <c r="D119" s="43" t="s">
        <v>158</v>
      </c>
      <c r="E119" s="28">
        <f>11000+11000+11000</f>
        <v>33000</v>
      </c>
      <c r="F119" s="6"/>
      <c r="G119" s="26"/>
    </row>
    <row r="120" spans="1:7" ht="15" customHeight="1" outlineLevel="2">
      <c r="A120" s="5"/>
      <c r="B120" s="27" t="s">
        <v>84</v>
      </c>
      <c r="C120" s="43"/>
      <c r="D120" s="43" t="s">
        <v>190</v>
      </c>
      <c r="E120" s="28">
        <v>14200</v>
      </c>
      <c r="F120" s="6"/>
      <c r="G120" s="26"/>
    </row>
    <row r="121" spans="1:7" ht="15" customHeight="1" outlineLevel="2">
      <c r="A121" s="5"/>
      <c r="B121" s="27" t="s">
        <v>84</v>
      </c>
      <c r="C121" s="43"/>
      <c r="D121" s="43" t="s">
        <v>220</v>
      </c>
      <c r="E121" s="28">
        <v>8500</v>
      </c>
      <c r="F121" s="6"/>
      <c r="G121" s="26"/>
    </row>
    <row r="122" spans="1:7" ht="15" customHeight="1" outlineLevel="2">
      <c r="A122" s="5"/>
      <c r="B122" s="27" t="s">
        <v>101</v>
      </c>
      <c r="C122" s="43"/>
      <c r="D122" s="43" t="s">
        <v>166</v>
      </c>
      <c r="E122" s="28">
        <v>89000</v>
      </c>
      <c r="F122" s="6"/>
      <c r="G122" s="26"/>
    </row>
    <row r="123" spans="1:7" ht="15" customHeight="1" outlineLevel="2">
      <c r="A123" s="5"/>
      <c r="B123" s="27" t="s">
        <v>101</v>
      </c>
      <c r="C123" s="43"/>
      <c r="D123" s="43" t="s">
        <v>247</v>
      </c>
      <c r="E123" s="28">
        <v>58500</v>
      </c>
      <c r="F123" s="6"/>
      <c r="G123" s="26"/>
    </row>
    <row r="124" spans="1:7" ht="15" customHeight="1" outlineLevel="2">
      <c r="A124" s="5"/>
      <c r="B124" s="27" t="s">
        <v>63</v>
      </c>
      <c r="C124" s="43"/>
      <c r="D124" s="43" t="s">
        <v>237</v>
      </c>
      <c r="E124" s="28">
        <f>8500+22000</f>
        <v>30500</v>
      </c>
      <c r="F124" s="6"/>
      <c r="G124" s="26"/>
    </row>
    <row r="125" spans="1:7" ht="15" customHeight="1" outlineLevel="2">
      <c r="A125" s="5"/>
      <c r="B125" s="27" t="s">
        <v>63</v>
      </c>
      <c r="C125" s="43"/>
      <c r="D125" s="43" t="s">
        <v>212</v>
      </c>
      <c r="E125" s="28">
        <v>8500</v>
      </c>
      <c r="F125" s="6"/>
      <c r="G125" s="26"/>
    </row>
    <row r="126" spans="1:7" ht="15" customHeight="1" outlineLevel="2">
      <c r="A126" s="5"/>
      <c r="B126" s="27" t="s">
        <v>87</v>
      </c>
      <c r="C126" s="43"/>
      <c r="D126" s="43" t="s">
        <v>236</v>
      </c>
      <c r="E126" s="28">
        <f>2000+3300</f>
        <v>5300</v>
      </c>
      <c r="F126" s="6"/>
      <c r="G126" s="26"/>
    </row>
    <row r="127" spans="1:7" ht="15" customHeight="1" outlineLevel="2">
      <c r="A127" s="5"/>
      <c r="B127" s="27" t="s">
        <v>102</v>
      </c>
      <c r="C127" s="43"/>
      <c r="D127" s="43" t="s">
        <v>161</v>
      </c>
      <c r="E127" s="28">
        <f>11000+11000+8500+11000+8500+11000+11000+8500+8500</f>
        <v>89000</v>
      </c>
      <c r="F127" s="6"/>
      <c r="G127" s="26"/>
    </row>
    <row r="128" spans="1:7" ht="15" customHeight="1" outlineLevel="2">
      <c r="A128" s="5"/>
      <c r="B128" s="27" t="s">
        <v>102</v>
      </c>
      <c r="C128" s="43"/>
      <c r="D128" s="43" t="s">
        <v>188</v>
      </c>
      <c r="E128" s="28">
        <f>8500+8500</f>
        <v>17000</v>
      </c>
      <c r="F128" s="6"/>
      <c r="G128" s="26"/>
    </row>
    <row r="129" spans="1:7" ht="15" customHeight="1" outlineLevel="2">
      <c r="A129" s="5"/>
      <c r="B129" s="27" t="s">
        <v>69</v>
      </c>
      <c r="C129" s="43"/>
      <c r="D129" s="43" t="s">
        <v>106</v>
      </c>
      <c r="E129" s="28">
        <v>94110</v>
      </c>
      <c r="F129" s="6"/>
      <c r="G129" s="26"/>
    </row>
    <row r="130" spans="1:7" ht="15" customHeight="1" outlineLevel="2">
      <c r="A130" s="5"/>
      <c r="B130" s="27" t="s">
        <v>69</v>
      </c>
      <c r="C130" s="43"/>
      <c r="D130" s="43" t="s">
        <v>148</v>
      </c>
      <c r="E130" s="28">
        <v>69792</v>
      </c>
      <c r="F130" s="6"/>
      <c r="G130" s="26"/>
    </row>
    <row r="131" spans="1:7" ht="15" customHeight="1" outlineLevel="2">
      <c r="A131" s="5"/>
      <c r="B131" s="27" t="s">
        <v>69</v>
      </c>
      <c r="C131" s="43"/>
      <c r="D131" s="43" t="s">
        <v>181</v>
      </c>
      <c r="E131" s="28">
        <v>150032</v>
      </c>
      <c r="F131" s="6"/>
      <c r="G131" s="26"/>
    </row>
    <row r="132" spans="1:7" ht="15" customHeight="1" outlineLevel="2">
      <c r="A132" s="5"/>
      <c r="B132" s="27" t="s">
        <v>203</v>
      </c>
      <c r="C132" s="43"/>
      <c r="D132" s="43" t="s">
        <v>204</v>
      </c>
      <c r="E132" s="28">
        <v>67320</v>
      </c>
      <c r="F132" s="6"/>
      <c r="G132" s="26"/>
    </row>
    <row r="133" spans="1:7" ht="15" customHeight="1" outlineLevel="2">
      <c r="A133" s="5"/>
      <c r="B133" s="27" t="s">
        <v>99</v>
      </c>
      <c r="C133" s="43"/>
      <c r="D133" s="43" t="s">
        <v>180</v>
      </c>
      <c r="E133" s="28">
        <v>331753</v>
      </c>
      <c r="F133" s="6"/>
      <c r="G133" s="26"/>
    </row>
    <row r="134" spans="1:7" ht="15" customHeight="1" outlineLevel="2">
      <c r="A134" s="5"/>
      <c r="B134" s="27" t="s">
        <v>99</v>
      </c>
      <c r="C134" s="43"/>
      <c r="D134" s="43" t="s">
        <v>211</v>
      </c>
      <c r="E134" s="28">
        <v>33016</v>
      </c>
      <c r="F134" s="6"/>
      <c r="G134" s="26"/>
    </row>
    <row r="135" spans="1:7" ht="15" customHeight="1" outlineLevel="2">
      <c r="A135" s="5"/>
      <c r="B135" s="27" t="s">
        <v>228</v>
      </c>
      <c r="C135" s="43"/>
      <c r="D135" s="43" t="s">
        <v>229</v>
      </c>
      <c r="E135" s="28">
        <v>76512</v>
      </c>
      <c r="F135" s="6"/>
      <c r="G135" s="26"/>
    </row>
    <row r="136" spans="1:7" ht="15" customHeight="1" outlineLevel="2">
      <c r="A136" s="5"/>
      <c r="B136" s="27" t="s">
        <v>142</v>
      </c>
      <c r="C136" s="43"/>
      <c r="D136" s="43" t="s">
        <v>169</v>
      </c>
      <c r="E136" s="28">
        <v>90331</v>
      </c>
      <c r="F136" s="6"/>
      <c r="G136" s="26"/>
    </row>
    <row r="137" spans="1:7" ht="15" customHeight="1" outlineLevel="2">
      <c r="A137" s="5"/>
      <c r="B137" s="27" t="s">
        <v>100</v>
      </c>
      <c r="C137" s="43"/>
      <c r="D137" s="43" t="s">
        <v>112</v>
      </c>
      <c r="E137" s="28">
        <v>389800</v>
      </c>
      <c r="F137" s="6"/>
      <c r="G137" s="26"/>
    </row>
    <row r="138" spans="1:7" ht="15" customHeight="1" outlineLevel="2">
      <c r="A138" s="5"/>
      <c r="B138" s="27" t="s">
        <v>55</v>
      </c>
      <c r="C138" s="43"/>
      <c r="D138" s="43" t="s">
        <v>175</v>
      </c>
      <c r="E138" s="28">
        <f>33320+33320</f>
        <v>66640</v>
      </c>
      <c r="F138" s="6"/>
      <c r="G138" s="26"/>
    </row>
    <row r="139" spans="1:7" ht="15" customHeight="1" outlineLevel="2">
      <c r="A139" s="5"/>
      <c r="B139" s="27" t="s">
        <v>55</v>
      </c>
      <c r="C139" s="43"/>
      <c r="D139" s="43" t="s">
        <v>205</v>
      </c>
      <c r="E139" s="28">
        <v>166600</v>
      </c>
      <c r="F139" s="6"/>
      <c r="G139" s="26"/>
    </row>
    <row r="140" spans="1:7" ht="15" customHeight="1" outlineLevel="2">
      <c r="A140" s="5"/>
      <c r="B140" s="27" t="s">
        <v>55</v>
      </c>
      <c r="C140" s="43"/>
      <c r="D140" s="43" t="s">
        <v>170</v>
      </c>
      <c r="E140" s="28">
        <f>62475+60095+47362+62475</f>
        <v>232407</v>
      </c>
      <c r="F140" s="6"/>
      <c r="G140" s="26"/>
    </row>
    <row r="141" spans="1:7" ht="15" customHeight="1" outlineLevel="2">
      <c r="A141" s="5"/>
      <c r="B141" s="27" t="s">
        <v>55</v>
      </c>
      <c r="C141" s="43"/>
      <c r="D141" s="43" t="s">
        <v>233</v>
      </c>
      <c r="E141" s="39">
        <f>267750+279650</f>
        <v>547400</v>
      </c>
      <c r="F141" s="6"/>
      <c r="G141" s="26">
        <f>SUM(E101:E141)</f>
        <v>3307637</v>
      </c>
    </row>
    <row r="142" spans="1:7" ht="15" customHeight="1" outlineLevel="2">
      <c r="A142" s="5"/>
      <c r="B142" s="27"/>
      <c r="C142" s="5"/>
      <c r="D142" s="43"/>
      <c r="E142" s="74"/>
      <c r="F142" s="73"/>
      <c r="G142" s="88"/>
    </row>
    <row r="143" spans="1:7" ht="15" customHeight="1" outlineLevel="2">
      <c r="A143" s="5"/>
      <c r="B143" s="32" t="s">
        <v>83</v>
      </c>
      <c r="C143" s="5"/>
      <c r="D143" s="43"/>
      <c r="E143" s="75"/>
      <c r="F143" s="73"/>
      <c r="G143" s="88"/>
    </row>
    <row r="144" spans="1:7" ht="15" customHeight="1" outlineLevel="2" thickBot="1">
      <c r="A144" s="5"/>
      <c r="B144" s="90" t="s">
        <v>176</v>
      </c>
      <c r="C144" s="96"/>
      <c r="D144" s="92" t="s">
        <v>177</v>
      </c>
      <c r="E144" s="104">
        <v>60000</v>
      </c>
      <c r="F144" s="94"/>
      <c r="G144" s="98"/>
    </row>
    <row r="145" spans="1:7" ht="15" customHeight="1" outlineLevel="2">
      <c r="A145" s="5"/>
      <c r="B145" s="27" t="s">
        <v>225</v>
      </c>
      <c r="C145" s="5"/>
      <c r="D145" s="43" t="s">
        <v>226</v>
      </c>
      <c r="E145" s="75">
        <v>33000</v>
      </c>
      <c r="F145" s="6"/>
      <c r="G145" s="88"/>
    </row>
    <row r="146" spans="1:7" ht="15" customHeight="1" outlineLevel="2">
      <c r="A146" s="5"/>
      <c r="B146" s="27" t="s">
        <v>143</v>
      </c>
      <c r="C146" s="5"/>
      <c r="D146" s="43" t="s">
        <v>213</v>
      </c>
      <c r="E146" s="75">
        <v>351050</v>
      </c>
      <c r="F146" s="6"/>
      <c r="G146" s="88">
        <f>SUM(E144:E146)</f>
        <v>444050</v>
      </c>
    </row>
    <row r="147" spans="1:7" ht="15" customHeight="1" outlineLevel="2">
      <c r="A147" s="5"/>
      <c r="B147" s="27"/>
      <c r="C147" s="5"/>
      <c r="D147" s="43"/>
      <c r="E147" s="75"/>
      <c r="F147" s="6"/>
      <c r="G147" s="88"/>
    </row>
    <row r="148" spans="1:7" ht="15" customHeight="1" outlineLevel="2">
      <c r="A148" s="5"/>
      <c r="B148" s="32" t="s">
        <v>86</v>
      </c>
      <c r="C148" s="5"/>
      <c r="D148" s="27"/>
      <c r="E148" s="28"/>
      <c r="F148" s="6"/>
      <c r="G148" s="88"/>
    </row>
    <row r="149" spans="1:7" ht="15" customHeight="1" outlineLevel="2">
      <c r="A149" s="5"/>
      <c r="B149" s="27" t="s">
        <v>93</v>
      </c>
      <c r="C149" s="5"/>
      <c r="D149" s="43" t="s">
        <v>110</v>
      </c>
      <c r="E149" s="75">
        <v>1980</v>
      </c>
      <c r="F149" s="6"/>
      <c r="G149" s="88"/>
    </row>
    <row r="150" spans="1:7" ht="15" customHeight="1" outlineLevel="2">
      <c r="A150" s="5"/>
      <c r="B150" s="27" t="s">
        <v>98</v>
      </c>
      <c r="C150" s="5"/>
      <c r="D150" s="43" t="s">
        <v>120</v>
      </c>
      <c r="E150" s="74">
        <v>122645</v>
      </c>
      <c r="F150" s="6"/>
      <c r="G150" s="88">
        <f>SUM(E149:E150)</f>
        <v>124625</v>
      </c>
    </row>
    <row r="151" spans="1:7" ht="15" customHeight="1" outlineLevel="2">
      <c r="A151" s="5"/>
      <c r="B151" s="27"/>
      <c r="C151" s="5"/>
      <c r="D151" s="86"/>
      <c r="E151" s="74"/>
      <c r="F151" s="6"/>
      <c r="G151" s="88"/>
    </row>
    <row r="152" spans="1:7" ht="15" customHeight="1" outlineLevel="2">
      <c r="A152" s="5"/>
      <c r="B152" s="32" t="s">
        <v>57</v>
      </c>
      <c r="C152" s="5"/>
      <c r="D152" s="97"/>
      <c r="E152" s="74"/>
      <c r="F152" s="6"/>
      <c r="G152" s="88"/>
    </row>
    <row r="153" spans="1:7" ht="15" customHeight="1" outlineLevel="2">
      <c r="A153" s="5"/>
      <c r="B153" s="27" t="s">
        <v>56</v>
      </c>
      <c r="C153" s="5"/>
      <c r="D153" s="43" t="s">
        <v>123</v>
      </c>
      <c r="E153" s="74">
        <v>50000</v>
      </c>
      <c r="F153" s="6"/>
      <c r="G153" s="88">
        <f>SUM(E153:F153)</f>
        <v>50000</v>
      </c>
    </row>
    <row r="154" spans="1:7" ht="15" customHeight="1" outlineLevel="2">
      <c r="A154" s="5"/>
      <c r="B154" s="27"/>
      <c r="C154" s="5"/>
      <c r="D154" s="43"/>
      <c r="E154" s="75"/>
      <c r="F154" s="6"/>
      <c r="G154" s="88"/>
    </row>
    <row r="155" spans="1:7" ht="15.75" customHeight="1" outlineLevel="2">
      <c r="A155" s="5"/>
      <c r="B155" s="31" t="s">
        <v>6</v>
      </c>
      <c r="C155" s="5"/>
      <c r="D155" s="21"/>
      <c r="E155" s="39"/>
      <c r="F155" s="6"/>
      <c r="G155" s="88"/>
    </row>
    <row r="156" spans="2:7" s="5" customFormat="1" ht="15" customHeight="1" outlineLevel="2">
      <c r="B156" s="27" t="s">
        <v>90</v>
      </c>
      <c r="D156" s="21" t="s">
        <v>137</v>
      </c>
      <c r="E156" s="28">
        <v>202500</v>
      </c>
      <c r="F156" s="8"/>
      <c r="G156" s="89"/>
    </row>
    <row r="157" spans="2:7" s="5" customFormat="1" ht="15" customHeight="1" outlineLevel="2">
      <c r="B157" s="27" t="s">
        <v>141</v>
      </c>
      <c r="D157" s="43" t="s">
        <v>208</v>
      </c>
      <c r="E157" s="28">
        <v>116117</v>
      </c>
      <c r="F157" s="8"/>
      <c r="G157" s="89"/>
    </row>
    <row r="158" spans="2:7" s="5" customFormat="1" ht="15" customHeight="1" outlineLevel="2">
      <c r="B158" s="27" t="s">
        <v>209</v>
      </c>
      <c r="D158" s="43" t="s">
        <v>210</v>
      </c>
      <c r="E158" s="28">
        <v>107100</v>
      </c>
      <c r="F158" s="8"/>
      <c r="G158" s="89"/>
    </row>
    <row r="159" spans="2:7" s="5" customFormat="1" ht="15" customHeight="1" outlineLevel="2">
      <c r="B159" s="27" t="s">
        <v>234</v>
      </c>
      <c r="D159" s="43" t="s">
        <v>242</v>
      </c>
      <c r="E159" s="28">
        <f>110970+232050</f>
        <v>343020</v>
      </c>
      <c r="F159" s="8"/>
      <c r="G159" s="89"/>
    </row>
    <row r="160" spans="2:7" s="5" customFormat="1" ht="15" customHeight="1" outlineLevel="2">
      <c r="B160" s="27" t="s">
        <v>109</v>
      </c>
      <c r="D160" s="43" t="s">
        <v>194</v>
      </c>
      <c r="E160" s="28">
        <v>693025</v>
      </c>
      <c r="F160" s="8"/>
      <c r="G160" s="89"/>
    </row>
    <row r="161" spans="2:7" s="5" customFormat="1" ht="15" customHeight="1" outlineLevel="2">
      <c r="B161" s="27" t="s">
        <v>109</v>
      </c>
      <c r="C161" s="27"/>
      <c r="D161" s="43" t="s">
        <v>195</v>
      </c>
      <c r="E161" s="28">
        <v>544512</v>
      </c>
      <c r="F161" s="8"/>
      <c r="G161" s="89"/>
    </row>
    <row r="162" spans="2:7" s="5" customFormat="1" ht="15" customHeight="1" outlineLevel="2">
      <c r="B162" s="27" t="s">
        <v>55</v>
      </c>
      <c r="D162" s="43" t="s">
        <v>231</v>
      </c>
      <c r="E162" s="28">
        <v>173690</v>
      </c>
      <c r="F162" s="8"/>
      <c r="G162" s="89"/>
    </row>
    <row r="163" spans="2:7" s="5" customFormat="1" ht="15" customHeight="1" outlineLevel="2">
      <c r="B163" s="27" t="s">
        <v>55</v>
      </c>
      <c r="D163" s="43" t="s">
        <v>230</v>
      </c>
      <c r="E163" s="28">
        <f>374706+374706</f>
        <v>749412</v>
      </c>
      <c r="F163" s="8"/>
      <c r="G163" s="89"/>
    </row>
    <row r="164" spans="2:7" s="5" customFormat="1" ht="15" customHeight="1" outlineLevel="2">
      <c r="B164" s="27" t="s">
        <v>55</v>
      </c>
      <c r="D164" s="43" t="s">
        <v>200</v>
      </c>
      <c r="E164" s="28">
        <v>22960</v>
      </c>
      <c r="F164" s="8"/>
      <c r="G164" s="89"/>
    </row>
    <row r="165" spans="2:7" s="5" customFormat="1" ht="15" customHeight="1" outlineLevel="2">
      <c r="B165" s="27" t="s">
        <v>55</v>
      </c>
      <c r="D165" s="43" t="s">
        <v>133</v>
      </c>
      <c r="E165" s="28">
        <v>123920</v>
      </c>
      <c r="F165" s="8"/>
      <c r="G165" s="89"/>
    </row>
    <row r="166" spans="2:7" s="5" customFormat="1" ht="15" customHeight="1" outlineLevel="2">
      <c r="B166" s="27" t="s">
        <v>55</v>
      </c>
      <c r="D166" s="43" t="s">
        <v>114</v>
      </c>
      <c r="E166" s="28">
        <v>310080</v>
      </c>
      <c r="F166" s="8"/>
      <c r="G166" s="89"/>
    </row>
    <row r="167" spans="1:7" ht="15" customHeight="1" outlineLevel="2" thickBot="1">
      <c r="A167" s="5"/>
      <c r="B167" s="27" t="s">
        <v>51</v>
      </c>
      <c r="C167" s="80"/>
      <c r="D167" s="81" t="s">
        <v>111</v>
      </c>
      <c r="E167" s="39">
        <v>239210</v>
      </c>
      <c r="F167" s="6"/>
      <c r="G167" s="88">
        <f>SUM(E156:E167)</f>
        <v>3625546</v>
      </c>
    </row>
    <row r="168" spans="1:7" ht="15" customHeight="1" outlineLevel="2">
      <c r="A168" s="5"/>
      <c r="B168" s="27"/>
      <c r="C168" s="5"/>
      <c r="D168" s="21"/>
      <c r="E168" s="39"/>
      <c r="F168" s="6"/>
      <c r="G168" s="88"/>
    </row>
    <row r="169" spans="1:7" ht="15" customHeight="1" outlineLevel="2">
      <c r="A169" s="5"/>
      <c r="B169" s="31" t="s">
        <v>152</v>
      </c>
      <c r="C169" s="5"/>
      <c r="D169" s="22"/>
      <c r="E169" s="28"/>
      <c r="F169" s="6"/>
      <c r="G169" s="88"/>
    </row>
    <row r="170" spans="1:7" ht="15" customHeight="1" outlineLevel="2">
      <c r="A170" s="5"/>
      <c r="B170" s="87" t="s">
        <v>67</v>
      </c>
      <c r="C170" s="5"/>
      <c r="D170" s="21" t="s">
        <v>232</v>
      </c>
      <c r="E170" s="28">
        <v>610635</v>
      </c>
      <c r="F170" s="6"/>
      <c r="G170" s="88"/>
    </row>
    <row r="171" spans="1:7" ht="15" customHeight="1" outlineLevel="2">
      <c r="A171" s="5"/>
      <c r="B171" s="27" t="s">
        <v>73</v>
      </c>
      <c r="C171" s="5"/>
      <c r="D171" s="21" t="s">
        <v>232</v>
      </c>
      <c r="E171" s="28">
        <v>270900</v>
      </c>
      <c r="F171" s="6"/>
      <c r="G171" s="88"/>
    </row>
    <row r="172" spans="1:7" ht="15" customHeight="1" outlineLevel="2">
      <c r="A172" s="5"/>
      <c r="B172" s="27" t="s">
        <v>55</v>
      </c>
      <c r="C172" s="5"/>
      <c r="D172" s="21" t="s">
        <v>232</v>
      </c>
      <c r="E172" s="28">
        <v>884834</v>
      </c>
      <c r="F172" s="6"/>
      <c r="G172" s="88"/>
    </row>
    <row r="173" spans="1:7" ht="15" customHeight="1" outlineLevel="2">
      <c r="A173" s="5"/>
      <c r="B173" s="27" t="s">
        <v>85</v>
      </c>
      <c r="C173" s="5"/>
      <c r="D173" s="21" t="s">
        <v>232</v>
      </c>
      <c r="E173" s="28">
        <v>709101</v>
      </c>
      <c r="F173" s="6"/>
      <c r="G173" s="88"/>
    </row>
    <row r="174" spans="1:7" ht="15" customHeight="1" outlineLevel="2">
      <c r="A174" s="5"/>
      <c r="B174" s="27" t="s">
        <v>74</v>
      </c>
      <c r="C174" s="5"/>
      <c r="D174" s="21" t="s">
        <v>232</v>
      </c>
      <c r="E174" s="28">
        <v>887234</v>
      </c>
      <c r="F174" s="6"/>
      <c r="G174" s="88"/>
    </row>
    <row r="175" spans="1:7" ht="15" customHeight="1" outlineLevel="2">
      <c r="A175" s="5"/>
      <c r="B175" s="27" t="s">
        <v>56</v>
      </c>
      <c r="C175" s="5"/>
      <c r="D175" s="21" t="s">
        <v>232</v>
      </c>
      <c r="E175" s="28">
        <v>750641</v>
      </c>
      <c r="F175" s="6"/>
      <c r="G175" s="88"/>
    </row>
    <row r="176" spans="1:7" ht="14.25" customHeight="1" outlineLevel="2">
      <c r="A176" s="5"/>
      <c r="B176" s="27" t="s">
        <v>76</v>
      </c>
      <c r="C176" s="5"/>
      <c r="D176" s="21" t="s">
        <v>232</v>
      </c>
      <c r="E176" s="28">
        <v>686069</v>
      </c>
      <c r="F176" s="6"/>
      <c r="G176" s="88"/>
    </row>
    <row r="177" spans="1:7" ht="14.25" customHeight="1" outlineLevel="2" thickBot="1">
      <c r="A177" s="5"/>
      <c r="B177" s="90" t="s">
        <v>75</v>
      </c>
      <c r="C177" s="96"/>
      <c r="D177" s="102" t="s">
        <v>232</v>
      </c>
      <c r="E177" s="95">
        <v>526125</v>
      </c>
      <c r="F177" s="94"/>
      <c r="G177" s="98"/>
    </row>
    <row r="178" spans="1:7" ht="15" customHeight="1" outlineLevel="2">
      <c r="A178" s="5"/>
      <c r="B178" s="27" t="s">
        <v>77</v>
      </c>
      <c r="C178" s="5"/>
      <c r="D178" s="21" t="s">
        <v>232</v>
      </c>
      <c r="E178" s="28">
        <v>373861</v>
      </c>
      <c r="F178" s="6"/>
      <c r="G178" s="88"/>
    </row>
    <row r="179" spans="1:7" ht="14.25" customHeight="1" outlineLevel="2">
      <c r="A179" s="5"/>
      <c r="B179" s="27" t="s">
        <v>69</v>
      </c>
      <c r="C179" s="5"/>
      <c r="D179" s="21" t="s">
        <v>232</v>
      </c>
      <c r="E179" s="39">
        <v>827479</v>
      </c>
      <c r="F179" s="6"/>
      <c r="G179" s="88">
        <f>SUM(E170:E179)</f>
        <v>6526879</v>
      </c>
    </row>
    <row r="180" spans="1:7" ht="15" customHeight="1" outlineLevel="2">
      <c r="A180" s="5"/>
      <c r="B180" s="27"/>
      <c r="C180" s="5"/>
      <c r="D180" s="43"/>
      <c r="E180" s="75"/>
      <c r="F180" s="6"/>
      <c r="G180" s="88"/>
    </row>
    <row r="181" spans="1:7" ht="15" customHeight="1" outlineLevel="2">
      <c r="A181" s="5"/>
      <c r="B181" s="31" t="s">
        <v>12</v>
      </c>
      <c r="C181" s="5"/>
      <c r="D181" s="21"/>
      <c r="E181" s="28"/>
      <c r="F181" s="6"/>
      <c r="G181" s="88"/>
    </row>
    <row r="182" spans="1:7" ht="15" customHeight="1" outlineLevel="2">
      <c r="A182" s="5"/>
      <c r="B182" s="27" t="s">
        <v>13</v>
      </c>
      <c r="C182" s="5"/>
      <c r="D182" s="81" t="s">
        <v>140</v>
      </c>
      <c r="E182" s="28">
        <v>258129</v>
      </c>
      <c r="F182" s="6"/>
      <c r="G182" s="88"/>
    </row>
    <row r="183" spans="1:7" ht="15" customHeight="1" outlineLevel="2">
      <c r="A183" s="5"/>
      <c r="B183" s="27" t="s">
        <v>72</v>
      </c>
      <c r="C183" s="11"/>
      <c r="D183" s="81" t="s">
        <v>140</v>
      </c>
      <c r="E183" s="28">
        <v>335628</v>
      </c>
      <c r="F183" s="6"/>
      <c r="G183" s="88"/>
    </row>
    <row r="184" spans="1:7" ht="15" customHeight="1" outlineLevel="2">
      <c r="A184" s="5"/>
      <c r="B184" s="27" t="s">
        <v>82</v>
      </c>
      <c r="C184" s="5"/>
      <c r="D184" s="81" t="s">
        <v>140</v>
      </c>
      <c r="E184" s="28">
        <v>307357</v>
      </c>
      <c r="F184" s="6"/>
      <c r="G184" s="88"/>
    </row>
    <row r="185" spans="1:7" ht="15" customHeight="1" outlineLevel="2">
      <c r="A185" s="5"/>
      <c r="B185" s="27" t="s">
        <v>50</v>
      </c>
      <c r="C185" s="5"/>
      <c r="D185" s="81" t="s">
        <v>140</v>
      </c>
      <c r="E185" s="28">
        <v>28814</v>
      </c>
      <c r="F185" s="6"/>
      <c r="G185" s="88"/>
    </row>
    <row r="186" spans="1:7" ht="15" customHeight="1" outlineLevel="2">
      <c r="A186" s="5"/>
      <c r="B186" s="27" t="s">
        <v>96</v>
      </c>
      <c r="C186" s="5"/>
      <c r="D186" s="81" t="s">
        <v>140</v>
      </c>
      <c r="E186" s="28">
        <v>396358</v>
      </c>
      <c r="F186" s="6"/>
      <c r="G186" s="88"/>
    </row>
    <row r="187" spans="1:7" ht="15" customHeight="1" outlineLevel="2">
      <c r="A187" s="5"/>
      <c r="B187" s="27" t="s">
        <v>97</v>
      </c>
      <c r="C187" s="5"/>
      <c r="D187" s="81" t="s">
        <v>140</v>
      </c>
      <c r="E187" s="28">
        <v>104229</v>
      </c>
      <c r="F187" s="6"/>
      <c r="G187" s="88"/>
    </row>
    <row r="188" spans="1:7" ht="15" customHeight="1" outlineLevel="2">
      <c r="A188" s="5"/>
      <c r="B188" s="27" t="s">
        <v>28</v>
      </c>
      <c r="C188" s="5"/>
      <c r="D188" s="81" t="s">
        <v>140</v>
      </c>
      <c r="E188" s="28">
        <f>63249+14674+25421+92897+23274</f>
        <v>219515</v>
      </c>
      <c r="F188" s="6"/>
      <c r="G188" s="88"/>
    </row>
    <row r="189" spans="1:7" ht="15" customHeight="1" outlineLevel="2">
      <c r="A189" s="5"/>
      <c r="B189" s="27" t="s">
        <v>79</v>
      </c>
      <c r="C189" s="5"/>
      <c r="D189" s="81" t="s">
        <v>140</v>
      </c>
      <c r="E189" s="28">
        <v>100617</v>
      </c>
      <c r="F189" s="6"/>
      <c r="G189" s="88"/>
    </row>
    <row r="190" spans="1:7" ht="15" customHeight="1" outlineLevel="2">
      <c r="A190" s="5"/>
      <c r="B190" s="27" t="s">
        <v>71</v>
      </c>
      <c r="C190" s="5"/>
      <c r="D190" s="81" t="s">
        <v>140</v>
      </c>
      <c r="E190" s="28">
        <v>62067</v>
      </c>
      <c r="F190" s="6"/>
      <c r="G190" s="88"/>
    </row>
    <row r="191" spans="1:9" ht="15" customHeight="1" outlineLevel="2" thickBot="1">
      <c r="A191" s="5"/>
      <c r="B191" s="82" t="s">
        <v>23</v>
      </c>
      <c r="C191" s="5"/>
      <c r="D191" s="81" t="s">
        <v>140</v>
      </c>
      <c r="E191" s="72">
        <v>336132</v>
      </c>
      <c r="F191" s="83"/>
      <c r="G191" s="84">
        <f>SUM(E182:E191)</f>
        <v>2148846</v>
      </c>
      <c r="H191" s="3"/>
      <c r="I191" s="3"/>
    </row>
    <row r="192" spans="2:10" ht="12.75" outlineLevel="1" thickBot="1">
      <c r="B192" s="46" t="s">
        <v>14</v>
      </c>
      <c r="C192" s="77"/>
      <c r="D192" s="77"/>
      <c r="E192" s="76"/>
      <c r="F192" s="47">
        <f>SUM(F8:F191)</f>
        <v>60197400</v>
      </c>
      <c r="G192" s="47">
        <f>SUM(G8:G191)</f>
        <v>26754089</v>
      </c>
      <c r="H192" s="3"/>
      <c r="I192" s="3"/>
      <c r="J192" s="3"/>
    </row>
    <row r="193" spans="2:9" ht="12.75" outlineLevel="1" thickBot="1">
      <c r="B193" s="49" t="s">
        <v>15</v>
      </c>
      <c r="C193" s="77"/>
      <c r="D193" s="71"/>
      <c r="E193" s="48"/>
      <c r="F193" s="48">
        <f>G6</f>
        <v>114932044</v>
      </c>
      <c r="G193" s="48">
        <v>0</v>
      </c>
      <c r="H193" s="3"/>
      <c r="I193" s="3"/>
    </row>
    <row r="194" spans="2:8" ht="12.75" thickBot="1">
      <c r="B194" s="51" t="s">
        <v>16</v>
      </c>
      <c r="C194" s="77"/>
      <c r="D194" s="50"/>
      <c r="E194" s="48"/>
      <c r="F194" s="48">
        <f>SUM(F192:F193)</f>
        <v>175129444</v>
      </c>
      <c r="G194" s="48">
        <f>SUM(G192:G193)</f>
        <v>26754089</v>
      </c>
      <c r="H194" s="3"/>
    </row>
    <row r="195" spans="2:7" ht="12" thickBot="1">
      <c r="B195" s="7"/>
      <c r="C195" s="80"/>
      <c r="D195" s="7"/>
      <c r="E195" s="6"/>
      <c r="F195" s="6"/>
      <c r="G195" s="6"/>
    </row>
    <row r="196" spans="1:9" s="9" customFormat="1" ht="15" customHeight="1" thickBot="1">
      <c r="A196" s="11"/>
      <c r="B196" s="52" t="s">
        <v>253</v>
      </c>
      <c r="C196" s="53"/>
      <c r="D196" s="53"/>
      <c r="E196" s="54">
        <f>F194-G194</f>
        <v>148375355</v>
      </c>
      <c r="F196" s="13" t="s">
        <v>7</v>
      </c>
      <c r="G196"/>
      <c r="H196" s="4"/>
      <c r="I196" s="4"/>
    </row>
    <row r="197" spans="2:7" s="5" customFormat="1" ht="35.25" customHeight="1">
      <c r="B197" s="7"/>
      <c r="D197" s="7"/>
      <c r="E197" s="6"/>
      <c r="F197" s="6"/>
      <c r="G197" s="6"/>
    </row>
    <row r="198" spans="2:7" s="5" customFormat="1" ht="12">
      <c r="B198" s="7"/>
      <c r="D198" s="7"/>
      <c r="E198" s="6"/>
      <c r="F198" s="13" t="s">
        <v>88</v>
      </c>
      <c r="G198" s="6"/>
    </row>
    <row r="199" spans="2:7" s="5" customFormat="1" ht="12">
      <c r="B199" s="5" t="s">
        <v>254</v>
      </c>
      <c r="D199" s="7"/>
      <c r="E199" s="6"/>
      <c r="F199" s="13" t="s">
        <v>89</v>
      </c>
      <c r="G199" s="6"/>
    </row>
    <row r="200" spans="4:7" s="5" customFormat="1" ht="15" customHeight="1">
      <c r="D200" s="12"/>
      <c r="E200" s="14"/>
      <c r="F200" s="13"/>
      <c r="G200" s="13"/>
    </row>
    <row r="201" spans="5:7" s="5" customFormat="1" ht="15" customHeight="1">
      <c r="E201" s="8"/>
      <c r="F201" s="6"/>
      <c r="G201" s="6"/>
    </row>
    <row r="202" spans="3:6" ht="11.25">
      <c r="C202" s="5"/>
      <c r="F202" s="3"/>
    </row>
    <row r="203" spans="3:5" ht="11.25">
      <c r="C203" s="5"/>
      <c r="E203" s="3"/>
    </row>
    <row r="204" ht="11.25">
      <c r="C204" s="5"/>
    </row>
    <row r="205" ht="11.25">
      <c r="C205" s="5"/>
    </row>
    <row r="206" ht="11.25">
      <c r="C206" s="5"/>
    </row>
    <row r="207" ht="11.25">
      <c r="C207" s="5"/>
    </row>
    <row r="208" ht="11.25">
      <c r="C208" s="5"/>
    </row>
    <row r="209" ht="11.25">
      <c r="C209" s="5"/>
    </row>
  </sheetData>
  <sheetProtection/>
  <printOptions horizontalCentered="1"/>
  <pageMargins left="0.3937007874015748" right="0.3937007874015748" top="0.41" bottom="0.47" header="0" footer="0"/>
  <pageSetup horizontalDpi="600" verticalDpi="600" orientation="landscape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54"/>
  <sheetViews>
    <sheetView zoomScalePageLayoutView="0" workbookViewId="0" topLeftCell="A1">
      <selection activeCell="H14" sqref="H14"/>
    </sheetView>
  </sheetViews>
  <sheetFormatPr defaultColWidth="11.421875" defaultRowHeight="12.75"/>
  <cols>
    <col min="1" max="1" width="4.00390625" style="15" customWidth="1"/>
    <col min="2" max="2" width="36.421875" style="15" customWidth="1"/>
    <col min="3" max="4" width="11.421875" style="15" customWidth="1"/>
    <col min="5" max="5" width="0" style="15" hidden="1" customWidth="1"/>
    <col min="6" max="16384" width="11.421875" style="15" customWidth="1"/>
  </cols>
  <sheetData>
    <row r="3" ht="12.75">
      <c r="B3" s="16"/>
    </row>
    <row r="4" ht="12.75">
      <c r="B4" s="16"/>
    </row>
    <row r="5" ht="13.5" thickBot="1">
      <c r="B5" s="16"/>
    </row>
    <row r="6" spans="2:5" s="17" customFormat="1" ht="28.5" customHeight="1" thickBot="1">
      <c r="B6" s="64" t="s">
        <v>58</v>
      </c>
      <c r="C6" s="64" t="s">
        <v>35</v>
      </c>
      <c r="D6" s="64"/>
      <c r="E6" s="59" t="s">
        <v>53</v>
      </c>
    </row>
    <row r="7" spans="2:5" s="5" customFormat="1" ht="15" customHeight="1">
      <c r="B7" s="27" t="s">
        <v>36</v>
      </c>
      <c r="C7" s="27">
        <v>86</v>
      </c>
      <c r="D7" s="28">
        <f>478500-5500</f>
        <v>473000</v>
      </c>
      <c r="E7" s="55">
        <f>378400+4300+378400+4300</f>
        <v>765400</v>
      </c>
    </row>
    <row r="8" spans="2:5" s="5" customFormat="1" ht="15" customHeight="1">
      <c r="B8" s="27" t="s">
        <v>31</v>
      </c>
      <c r="C8" s="27">
        <v>123</v>
      </c>
      <c r="D8" s="28">
        <v>671000</v>
      </c>
      <c r="E8" s="55">
        <f>533200+8600</f>
        <v>541800</v>
      </c>
    </row>
    <row r="9" spans="2:5" s="5" customFormat="1" ht="15" customHeight="1">
      <c r="B9" s="27" t="s">
        <v>34</v>
      </c>
      <c r="C9" s="27">
        <f>250+1</f>
        <v>251</v>
      </c>
      <c r="D9" s="28">
        <f>1369500+5500</f>
        <v>1375000</v>
      </c>
      <c r="E9" s="55">
        <f>838500+8600+834200+8600</f>
        <v>1689900</v>
      </c>
    </row>
    <row r="10" spans="2:5" s="5" customFormat="1" ht="15" customHeight="1">
      <c r="B10" s="27" t="s">
        <v>37</v>
      </c>
      <c r="C10" s="27">
        <v>169</v>
      </c>
      <c r="D10" s="28">
        <v>929500</v>
      </c>
      <c r="E10" s="55">
        <v>0</v>
      </c>
    </row>
    <row r="11" spans="2:5" s="5" customFormat="1" ht="15" customHeight="1">
      <c r="B11" s="27" t="s">
        <v>29</v>
      </c>
      <c r="C11" s="27">
        <v>185</v>
      </c>
      <c r="D11" s="28">
        <v>1023000</v>
      </c>
      <c r="E11" s="55">
        <f>8600+967500</f>
        <v>976100</v>
      </c>
    </row>
    <row r="12" spans="2:5" s="5" customFormat="1" ht="15" customHeight="1">
      <c r="B12" s="27" t="s">
        <v>38</v>
      </c>
      <c r="C12" s="27">
        <f>501+1+1+1</f>
        <v>504</v>
      </c>
      <c r="D12" s="28">
        <f>2200+6360+2761000</f>
        <v>2769560</v>
      </c>
      <c r="E12" s="55">
        <f>17200+223100+8600+8600</f>
        <v>257500</v>
      </c>
    </row>
    <row r="13" spans="2:5" s="5" customFormat="1" ht="15" customHeight="1">
      <c r="B13" s="27" t="s">
        <v>39</v>
      </c>
      <c r="C13" s="27">
        <f>1+1+639+1+1</f>
        <v>643</v>
      </c>
      <c r="D13" s="28">
        <f>26840+53800+44000+5500+22000+2200+2200+3492500</f>
        <v>3649040</v>
      </c>
      <c r="E13" s="55">
        <f>3457200+30100+3990</f>
        <v>3491290</v>
      </c>
    </row>
    <row r="14" spans="2:5" s="5" customFormat="1" ht="15" customHeight="1">
      <c r="B14" s="27" t="s">
        <v>40</v>
      </c>
      <c r="C14" s="27">
        <v>142</v>
      </c>
      <c r="D14" s="28">
        <v>781000</v>
      </c>
      <c r="E14" s="55">
        <f>8600+602000+593400</f>
        <v>1204000</v>
      </c>
    </row>
    <row r="15" spans="2:5" s="5" customFormat="1" ht="15" customHeight="1">
      <c r="B15" s="27" t="s">
        <v>27</v>
      </c>
      <c r="C15" s="27">
        <f>179</f>
        <v>179</v>
      </c>
      <c r="D15" s="28">
        <v>984500</v>
      </c>
      <c r="E15" s="55">
        <f>640700+653600</f>
        <v>1294300</v>
      </c>
    </row>
    <row r="16" spans="2:5" s="5" customFormat="1" ht="15" customHeight="1">
      <c r="B16" s="27" t="s">
        <v>41</v>
      </c>
      <c r="C16" s="27">
        <f>389+1+1</f>
        <v>391</v>
      </c>
      <c r="D16" s="28">
        <f>2139500</f>
        <v>2139500</v>
      </c>
      <c r="E16" s="55">
        <f>1797400+8600</f>
        <v>1806000</v>
      </c>
    </row>
    <row r="17" spans="2:5" s="5" customFormat="1" ht="15" customHeight="1">
      <c r="B17" s="27" t="s">
        <v>42</v>
      </c>
      <c r="C17" s="27">
        <f>175+1</f>
        <v>176</v>
      </c>
      <c r="D17" s="28">
        <f>5100+962500+2750</f>
        <v>970350</v>
      </c>
      <c r="E17" s="55">
        <v>774000</v>
      </c>
    </row>
    <row r="18" spans="2:5" s="5" customFormat="1" ht="15" customHeight="1">
      <c r="B18" s="27" t="s">
        <v>43</v>
      </c>
      <c r="C18" s="27">
        <f>338+1+1+1</f>
        <v>341</v>
      </c>
      <c r="D18" s="28">
        <f>5500+17520+1842500+16500+5500</f>
        <v>1887520</v>
      </c>
      <c r="E18" s="55">
        <f>1427290</f>
        <v>1427290</v>
      </c>
    </row>
    <row r="19" spans="2:5" s="5" customFormat="1" ht="15" customHeight="1">
      <c r="B19" s="27" t="s">
        <v>26</v>
      </c>
      <c r="C19" s="27">
        <f>105+1</f>
        <v>106</v>
      </c>
      <c r="D19" s="28">
        <f>577500+2200+2040</f>
        <v>581740</v>
      </c>
      <c r="E19" s="55">
        <v>442900</v>
      </c>
    </row>
    <row r="20" spans="2:5" s="5" customFormat="1" ht="15" customHeight="1">
      <c r="B20" s="27" t="s">
        <v>44</v>
      </c>
      <c r="C20" s="27">
        <f>1+1+1+1+470+1+1+1</f>
        <v>477</v>
      </c>
      <c r="D20" s="28">
        <f>2120+8480+10600+1600+13200+2579500+2200</f>
        <v>2617700</v>
      </c>
      <c r="E20" s="55">
        <f>1720+12900+2128500</f>
        <v>2143120</v>
      </c>
    </row>
    <row r="21" spans="2:5" s="5" customFormat="1" ht="15" customHeight="1">
      <c r="B21" s="27" t="s">
        <v>32</v>
      </c>
      <c r="C21" s="27">
        <v>296</v>
      </c>
      <c r="D21" s="28">
        <v>1622500</v>
      </c>
      <c r="E21" s="55">
        <f>7740+1388900+12900+1596</f>
        <v>1411136</v>
      </c>
    </row>
    <row r="22" spans="2:5" s="5" customFormat="1" ht="15" customHeight="1">
      <c r="B22" s="27" t="s">
        <v>45</v>
      </c>
      <c r="C22" s="27">
        <f>241+1</f>
        <v>242</v>
      </c>
      <c r="D22" s="28">
        <v>1325500</v>
      </c>
      <c r="E22" s="55">
        <f>12900+924500+4300</f>
        <v>941700</v>
      </c>
    </row>
    <row r="23" spans="2:5" s="5" customFormat="1" ht="15" customHeight="1">
      <c r="B23" s="27" t="s">
        <v>33</v>
      </c>
      <c r="C23" s="27">
        <f>1+201</f>
        <v>202</v>
      </c>
      <c r="D23" s="28">
        <v>1105500</v>
      </c>
      <c r="E23" s="55">
        <f>645000</f>
        <v>645000</v>
      </c>
    </row>
    <row r="24" spans="2:5" s="5" customFormat="1" ht="15" customHeight="1">
      <c r="B24" s="27" t="s">
        <v>46</v>
      </c>
      <c r="C24" s="27">
        <v>132</v>
      </c>
      <c r="D24" s="28">
        <f>726000</f>
        <v>726000</v>
      </c>
      <c r="E24" s="55">
        <f>4300+520300</f>
        <v>524600</v>
      </c>
    </row>
    <row r="25" spans="2:5" s="5" customFormat="1" ht="15" customHeight="1" thickBot="1">
      <c r="B25" s="27" t="s">
        <v>47</v>
      </c>
      <c r="C25" s="27">
        <v>116</v>
      </c>
      <c r="D25" s="39">
        <v>638000</v>
      </c>
      <c r="E25" s="56">
        <f>4300+464400</f>
        <v>468700</v>
      </c>
    </row>
    <row r="26" spans="2:5" s="5" customFormat="1" ht="15" customHeight="1" thickBot="1">
      <c r="B26" s="40"/>
      <c r="C26" s="40">
        <f>SUM(C7:C25)</f>
        <v>4761</v>
      </c>
      <c r="D26" s="65">
        <f>SUM(D7:D25)</f>
        <v>26269910</v>
      </c>
      <c r="E26" s="60"/>
    </row>
    <row r="27" spans="2:5" ht="15.75" customHeight="1" hidden="1" thickBot="1">
      <c r="B27" s="57" t="s">
        <v>54</v>
      </c>
      <c r="C27" s="58"/>
      <c r="D27" s="61"/>
      <c r="E27" s="19" t="e">
        <f>SUM(#REF!)</f>
        <v>#REF!</v>
      </c>
    </row>
    <row r="36" ht="12.75">
      <c r="F36" s="5"/>
    </row>
    <row r="37" ht="12.75">
      <c r="F37" s="5"/>
    </row>
    <row r="38" ht="12.75">
      <c r="F38" s="5"/>
    </row>
    <row r="39" ht="12.75">
      <c r="F39" s="5"/>
    </row>
    <row r="40" ht="12.75">
      <c r="F40" s="5"/>
    </row>
    <row r="41" ht="12.75">
      <c r="F41" s="5"/>
    </row>
    <row r="42" ht="12.75">
      <c r="F42" s="5"/>
    </row>
    <row r="43" ht="12.75">
      <c r="F43" s="5"/>
    </row>
    <row r="44" ht="12.75">
      <c r="F44" s="5"/>
    </row>
    <row r="45" ht="12.75">
      <c r="F45" s="5"/>
    </row>
    <row r="46" ht="12.75">
      <c r="F46" s="5"/>
    </row>
    <row r="47" ht="12.75"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  <row r="54" ht="12.75">
      <c r="F54" s="5"/>
    </row>
  </sheetData>
  <sheetProtection/>
  <printOptions horizontalCentered="1"/>
  <pageMargins left="0.7874015748031497" right="0.7874015748031497" top="0.984251968503937" bottom="0.984251968503937" header="0" footer="0"/>
  <pageSetup horizontalDpi="300" verticalDpi="300" orientation="landscape" scale="105" r:id="rId1"/>
  <headerFooter alignWithMargins="0">
    <oddHeader>&amp;L&amp;"Book Antiqua,Negrita Cursiva"Asociación Nacional de Empleados 
             Poder Judicial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I30"/>
  <sheetViews>
    <sheetView zoomScalePageLayoutView="0" workbookViewId="0" topLeftCell="A2">
      <selection activeCell="C29" sqref="C29"/>
    </sheetView>
  </sheetViews>
  <sheetFormatPr defaultColWidth="11.421875" defaultRowHeight="12.75"/>
  <cols>
    <col min="1" max="1" width="4.00390625" style="15" customWidth="1"/>
    <col min="2" max="2" width="14.28125" style="15" customWidth="1"/>
    <col min="3" max="3" width="43.140625" style="15" customWidth="1"/>
    <col min="4" max="5" width="11.421875" style="18" customWidth="1"/>
    <col min="6" max="16384" width="11.421875" style="15" customWidth="1"/>
  </cols>
  <sheetData>
    <row r="1" ht="26.25" customHeight="1"/>
    <row r="2" ht="26.25" customHeight="1"/>
    <row r="3" spans="2:3" ht="12.75">
      <c r="B3" s="16"/>
      <c r="C3" s="16"/>
    </row>
    <row r="4" spans="2:3" ht="14.25">
      <c r="B4" s="16"/>
      <c r="C4" s="69" t="s">
        <v>68</v>
      </c>
    </row>
    <row r="5" ht="13.5" thickBot="1"/>
    <row r="6" spans="2:5" s="17" customFormat="1" ht="28.5" customHeight="1" thickBot="1">
      <c r="B6" s="62" t="s">
        <v>59</v>
      </c>
      <c r="C6" s="64" t="s">
        <v>60</v>
      </c>
      <c r="D6" s="68" t="s">
        <v>61</v>
      </c>
      <c r="E6" s="68" t="s">
        <v>256</v>
      </c>
    </row>
    <row r="7" spans="2:5" s="5" customFormat="1" ht="15" customHeight="1">
      <c r="B7" s="66">
        <v>43717</v>
      </c>
      <c r="C7" s="27" t="s">
        <v>102</v>
      </c>
      <c r="D7" s="67">
        <v>17800</v>
      </c>
      <c r="E7" s="67">
        <v>97</v>
      </c>
    </row>
    <row r="8" spans="2:5" s="5" customFormat="1" ht="15" customHeight="1">
      <c r="B8" s="66">
        <v>43718</v>
      </c>
      <c r="C8" s="27" t="s">
        <v>91</v>
      </c>
      <c r="D8" s="67">
        <v>18000</v>
      </c>
      <c r="E8" s="67">
        <v>98</v>
      </c>
    </row>
    <row r="9" spans="2:5" s="5" customFormat="1" ht="15" customHeight="1">
      <c r="B9" s="66">
        <v>43718</v>
      </c>
      <c r="C9" s="27" t="s">
        <v>101</v>
      </c>
      <c r="D9" s="67">
        <v>15800</v>
      </c>
      <c r="E9" s="67">
        <v>99</v>
      </c>
    </row>
    <row r="10" spans="2:5" s="5" customFormat="1" ht="15" customHeight="1">
      <c r="B10" s="66">
        <v>43718</v>
      </c>
      <c r="C10" s="27" t="s">
        <v>95</v>
      </c>
      <c r="D10" s="67">
        <v>15800</v>
      </c>
      <c r="E10" s="67">
        <v>100</v>
      </c>
    </row>
    <row r="11" spans="2:5" s="5" customFormat="1" ht="15" customHeight="1">
      <c r="B11" s="66">
        <v>43717</v>
      </c>
      <c r="C11" s="27" t="s">
        <v>91</v>
      </c>
      <c r="D11" s="67">
        <v>17800</v>
      </c>
      <c r="E11" s="67">
        <v>96</v>
      </c>
    </row>
    <row r="12" spans="2:5" s="5" customFormat="1" ht="15" customHeight="1">
      <c r="B12" s="66">
        <v>43717</v>
      </c>
      <c r="C12" s="27" t="s">
        <v>95</v>
      </c>
      <c r="D12" s="67">
        <v>17800</v>
      </c>
      <c r="E12" s="67">
        <v>95</v>
      </c>
    </row>
    <row r="13" spans="2:5" s="5" customFormat="1" ht="15" customHeight="1">
      <c r="B13" s="66">
        <v>43717</v>
      </c>
      <c r="C13" s="27" t="s">
        <v>101</v>
      </c>
      <c r="D13" s="67">
        <v>17800</v>
      </c>
      <c r="E13" s="67">
        <v>94</v>
      </c>
    </row>
    <row r="14" spans="2:5" s="5" customFormat="1" ht="15" customHeight="1">
      <c r="B14" s="66">
        <v>43712</v>
      </c>
      <c r="C14" s="27" t="s">
        <v>91</v>
      </c>
      <c r="D14" s="67">
        <v>15800</v>
      </c>
      <c r="E14" s="67">
        <v>93</v>
      </c>
    </row>
    <row r="15" spans="2:5" s="5" customFormat="1" ht="15" customHeight="1">
      <c r="B15" s="66">
        <v>43711</v>
      </c>
      <c r="C15" s="27" t="s">
        <v>95</v>
      </c>
      <c r="D15" s="67">
        <v>15800</v>
      </c>
      <c r="E15" s="67">
        <v>92</v>
      </c>
    </row>
    <row r="16" spans="2:5" s="5" customFormat="1" ht="15" customHeight="1">
      <c r="B16" s="66">
        <v>43711</v>
      </c>
      <c r="C16" s="27" t="s">
        <v>102</v>
      </c>
      <c r="D16" s="67">
        <v>15800</v>
      </c>
      <c r="E16" s="67">
        <v>90</v>
      </c>
    </row>
    <row r="17" spans="2:5" s="5" customFormat="1" ht="15" customHeight="1">
      <c r="B17" s="66">
        <v>43711</v>
      </c>
      <c r="C17" s="27" t="s">
        <v>102</v>
      </c>
      <c r="D17" s="67">
        <v>17800</v>
      </c>
      <c r="E17" s="67">
        <v>89</v>
      </c>
    </row>
    <row r="18" spans="2:5" s="5" customFormat="1" ht="15" customHeight="1">
      <c r="B18" s="66">
        <v>43711</v>
      </c>
      <c r="C18" s="27" t="s">
        <v>95</v>
      </c>
      <c r="D18" s="67">
        <v>17800</v>
      </c>
      <c r="E18" s="67">
        <v>88</v>
      </c>
    </row>
    <row r="19" spans="2:5" s="5" customFormat="1" ht="15" customHeight="1">
      <c r="B19" s="66">
        <v>43710</v>
      </c>
      <c r="C19" s="27" t="s">
        <v>91</v>
      </c>
      <c r="D19" s="67">
        <v>17800</v>
      </c>
      <c r="E19" s="67">
        <v>87</v>
      </c>
    </row>
    <row r="20" spans="2:5" s="5" customFormat="1" ht="15" customHeight="1">
      <c r="B20" s="66">
        <v>43710</v>
      </c>
      <c r="C20" s="27" t="s">
        <v>101</v>
      </c>
      <c r="D20" s="67">
        <v>17800</v>
      </c>
      <c r="E20" s="67">
        <v>86</v>
      </c>
    </row>
    <row r="21" spans="2:5" s="5" customFormat="1" ht="15" customHeight="1">
      <c r="B21" s="66">
        <v>43719</v>
      </c>
      <c r="C21" s="27" t="s">
        <v>102</v>
      </c>
      <c r="D21" s="67">
        <v>15800</v>
      </c>
      <c r="E21" s="67">
        <v>101</v>
      </c>
    </row>
    <row r="22" spans="2:5" s="5" customFormat="1" ht="15" customHeight="1">
      <c r="B22" s="66">
        <v>43731</v>
      </c>
      <c r="C22" s="27" t="s">
        <v>102</v>
      </c>
      <c r="D22" s="67">
        <v>17800</v>
      </c>
      <c r="E22" s="67">
        <v>103</v>
      </c>
    </row>
    <row r="23" spans="2:5" s="5" customFormat="1" ht="15" customHeight="1">
      <c r="B23" s="66">
        <v>43732</v>
      </c>
      <c r="C23" s="27" t="s">
        <v>91</v>
      </c>
      <c r="D23" s="67">
        <v>15800</v>
      </c>
      <c r="E23" s="67">
        <v>105</v>
      </c>
    </row>
    <row r="24" spans="2:5" s="5" customFormat="1" ht="15" customHeight="1">
      <c r="B24" s="66">
        <v>43731</v>
      </c>
      <c r="C24" s="27" t="s">
        <v>91</v>
      </c>
      <c r="D24" s="67">
        <v>17800</v>
      </c>
      <c r="E24" s="67">
        <v>106</v>
      </c>
    </row>
    <row r="25" spans="2:5" s="5" customFormat="1" ht="15" customHeight="1">
      <c r="B25" s="66">
        <v>43733</v>
      </c>
      <c r="C25" s="27" t="s">
        <v>91</v>
      </c>
      <c r="D25" s="67">
        <v>17800</v>
      </c>
      <c r="E25" s="67">
        <v>107</v>
      </c>
    </row>
    <row r="26" spans="2:5" s="5" customFormat="1" ht="15" customHeight="1">
      <c r="B26" s="66">
        <v>43710</v>
      </c>
      <c r="C26" s="27" t="s">
        <v>91</v>
      </c>
      <c r="D26" s="67">
        <v>15800</v>
      </c>
      <c r="E26" s="67">
        <v>108</v>
      </c>
    </row>
    <row r="27" spans="2:5" s="5" customFormat="1" ht="15" customHeight="1">
      <c r="B27" s="66">
        <v>43736</v>
      </c>
      <c r="C27" s="27" t="s">
        <v>102</v>
      </c>
      <c r="D27" s="67">
        <v>15800</v>
      </c>
      <c r="E27" s="67">
        <v>109</v>
      </c>
    </row>
    <row r="28" spans="2:5" s="5" customFormat="1" ht="15" customHeight="1">
      <c r="B28" s="66">
        <v>43737</v>
      </c>
      <c r="C28" s="27" t="s">
        <v>95</v>
      </c>
      <c r="D28" s="67">
        <v>15800</v>
      </c>
      <c r="E28" s="67">
        <v>112</v>
      </c>
    </row>
    <row r="29" spans="2:5" s="5" customFormat="1" ht="15" customHeight="1" thickBot="1">
      <c r="B29" s="66"/>
      <c r="C29" s="27" t="s">
        <v>255</v>
      </c>
      <c r="D29" s="67">
        <v>18000</v>
      </c>
      <c r="E29" s="67"/>
    </row>
    <row r="30" spans="2:9" s="5" customFormat="1" ht="15" customHeight="1" thickBot="1">
      <c r="B30" s="64"/>
      <c r="C30" s="63"/>
      <c r="D30" s="103">
        <f>SUM(D7:D29)</f>
        <v>389800</v>
      </c>
      <c r="E30" s="63"/>
      <c r="I30" s="5" t="s">
        <v>138</v>
      </c>
    </row>
  </sheetData>
  <sheetProtection/>
  <printOptions horizontalCentered="1"/>
  <pageMargins left="0.7874015748031497" right="0.7874015748031497" top="0.984251968503937" bottom="0.984251968503937" header="0" footer="0"/>
  <pageSetup horizontalDpi="1200" verticalDpi="12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Aranguiz</dc:creator>
  <cp:keywords/>
  <dc:description/>
  <cp:lastModifiedBy>Usuario</cp:lastModifiedBy>
  <cp:lastPrinted>2019-11-20T21:23:11Z</cp:lastPrinted>
  <dcterms:created xsi:type="dcterms:W3CDTF">2000-09-21T06:07:13Z</dcterms:created>
  <dcterms:modified xsi:type="dcterms:W3CDTF">2019-11-20T21:24:16Z</dcterms:modified>
  <cp:category/>
  <cp:version/>
  <cp:contentType/>
  <cp:contentStatus/>
</cp:coreProperties>
</file>