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2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'informe'!$E$4:$E$175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3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<sst xmlns="http://schemas.openxmlformats.org/spreadsheetml/2006/main" count="298" uniqueCount="207">
  <si>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</si>
  <si>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</si>
  <si>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</si>
  <si>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</si>
  <si>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</si>
  <si>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</si>
  <si>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</si>
  <si>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</si>
  <si>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</si>
  <si>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</si>
  <si>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</si>
  <si>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</si>
  <si>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</si>
  <si>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</si>
  <si>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</si>
  <si>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</si>
  <si>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</si>
  <si>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</si>
  <si>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</si>
  <si>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</si>
  <si>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</si>
  <si>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</si>
  <si>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</si>
  <si>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</si>
  <si>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</si>
  <si>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</si>
  <si>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</si>
  <si>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</si>
  <si>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</si>
  <si>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</si>
  <si>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</si>
  <si>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</si>
  <si>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</si>
  <si>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</si>
  <si>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</si>
  <si>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</si>
  <si>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</si>
  <si>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</si>
  <si>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</si>
  <si>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</si>
  <si>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</si>
  <si>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</si>
  <si>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</si>
  <si>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</si>
  <si>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</si>
  <si>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</si>
  <si>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</si>
  <si>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</si>
  <si>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</si>
  <si>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COÑARIPE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</si>
  <si>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</si>
  <si>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</si>
  <si>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</si>
  <si>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</si>
  <si>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</si>
  <si>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</si>
  <si>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</si>
  <si>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</si>
  <si>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</si>
  <si>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</si>
  <si>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HOGAR JUDICIAL A-B</t>
  </si>
  <si>
    <t>HOGAR JUDICIAL C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</si>
  <si>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</si>
  <si>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</si>
  <si>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</si>
  <si>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</si>
  <si>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</si>
  <si>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</si>
  <si>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</si>
  <si>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</si>
  <si>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</si>
  <si>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</si>
  <si>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</si>
  <si>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</si>
  <si>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</si>
  <si>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</si>
  <si>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</si>
  <si>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</si>
  <si>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</si>
  <si>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</si>
  <si>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Consumo Luz Coñaripe y Mehuin</t>
  </si>
  <si>
    <t>Telefonía Tesoreria</t>
  </si>
  <si>
    <t>Telefonía Hogar y Secretaría</t>
  </si>
  <si>
    <t>Consumo Luz Loncura</t>
  </si>
  <si>
    <t>Estadía</t>
  </si>
  <si>
    <t xml:space="preserve"> ,</t>
  </si>
  <si>
    <t xml:space="preserve">ALVARO PARDOW </t>
  </si>
  <si>
    <t>Asesoria Servicio web</t>
  </si>
  <si>
    <t>N° VALE</t>
  </si>
  <si>
    <t>PREVIRED</t>
  </si>
  <si>
    <t>CYNTHIA PAIRO</t>
  </si>
  <si>
    <t>ANA CANEO</t>
  </si>
  <si>
    <t>AGUAS ANDINAS</t>
  </si>
  <si>
    <t>Consumo Agua</t>
  </si>
  <si>
    <t>ISAPRE CRUZ BLANCA</t>
  </si>
  <si>
    <t>RELACIONES PUBLICAS</t>
  </si>
  <si>
    <t xml:space="preserve">SUELDOS </t>
  </si>
  <si>
    <t>ISAPRE CONSALUD</t>
  </si>
  <si>
    <t>REGIONAL SANTIAGO</t>
  </si>
  <si>
    <t xml:space="preserve">Devolución cotizaciones </t>
  </si>
  <si>
    <t>REGIONAL COYHAIQUE</t>
  </si>
  <si>
    <t>Deposito para pago de creditos socios</t>
  </si>
  <si>
    <t>REGIONAL IQUIQUE</t>
  </si>
  <si>
    <t>MIRTA CATRILEO</t>
  </si>
  <si>
    <t>AGUAS MANANTIAL</t>
  </si>
  <si>
    <t>Facturas aguas mensual</t>
  </si>
  <si>
    <t>MAPFRE</t>
  </si>
  <si>
    <t>Seguro incendio</t>
  </si>
  <si>
    <t xml:space="preserve">           Tesorería Nacional</t>
  </si>
  <si>
    <t>REGIONAL MALLECO CAUTIN</t>
  </si>
  <si>
    <t>CARLOS VERDUGO</t>
  </si>
  <si>
    <t>CRISTINA SILVA MOLINA</t>
  </si>
  <si>
    <t>Consumo luz</t>
  </si>
  <si>
    <t>MOVISTAR</t>
  </si>
  <si>
    <t>Internet y cable Loncura</t>
  </si>
  <si>
    <t>JULIO HORMAZABAL</t>
  </si>
  <si>
    <t>JULIETA VEGA</t>
  </si>
  <si>
    <t>DIAZ VALDES  Y CIA</t>
  </si>
  <si>
    <t>Arts de escritorio</t>
  </si>
  <si>
    <t xml:space="preserve">Pagos creditos regional </t>
  </si>
  <si>
    <t>GUILLERMO AGUILAR</t>
  </si>
  <si>
    <t>DIRECTV</t>
  </si>
  <si>
    <t>Cable</t>
  </si>
  <si>
    <t>ENTEL PCS</t>
  </si>
  <si>
    <t>ELIANA ORTIZ</t>
  </si>
  <si>
    <t>JUAN VILLAR</t>
  </si>
  <si>
    <t>AMADEO GNECCO</t>
  </si>
  <si>
    <t>LEONOR DROGUETT</t>
  </si>
  <si>
    <t>SERVIPAG</t>
  </si>
  <si>
    <t>KARIN MENDOZA</t>
  </si>
  <si>
    <t>Pago cuenta  celular Sra. Gema Junio</t>
  </si>
  <si>
    <t>RICARDO ALVAREZ</t>
  </si>
  <si>
    <t>ISABEL MALDONADO</t>
  </si>
  <si>
    <t>Retenciones e Impuesto único Mayo</t>
  </si>
  <si>
    <t>REGIONAL MAULE</t>
  </si>
  <si>
    <t>Junio</t>
  </si>
  <si>
    <t>CONTRIBUCIONES</t>
  </si>
  <si>
    <t>ASOCIACIONES REGIONAL</t>
  </si>
  <si>
    <t>Voto Electronico Evoting</t>
  </si>
  <si>
    <t>Deposito cuotas Regional Maule</t>
  </si>
  <si>
    <t>Consumo Agua  Mayo -junio</t>
  </si>
  <si>
    <t>Cotizaciones Reg. San Miguel Mayo</t>
  </si>
  <si>
    <t>NAYARET QUEVEDO</t>
  </si>
  <si>
    <t xml:space="preserve">Asesoria junio </t>
  </si>
  <si>
    <t>DIMERC</t>
  </si>
  <si>
    <t>Articulos escritorio</t>
  </si>
  <si>
    <t>Regalo cumpleaños</t>
  </si>
  <si>
    <t>Compra materiales Loncura</t>
  </si>
  <si>
    <t>VICTOR CARTAGENA</t>
  </si>
  <si>
    <t>Instalaciones focos</t>
  </si>
  <si>
    <t>MARIA ISABEL RODRIGUEZ</t>
  </si>
  <si>
    <t>Devolución deposito erroneo</t>
  </si>
  <si>
    <t xml:space="preserve">Pagos correos de Chile </t>
  </si>
  <si>
    <t>Asesoria juridica junio</t>
  </si>
  <si>
    <t>HDI</t>
  </si>
  <si>
    <t>Pago Seguro</t>
  </si>
  <si>
    <t>50 % Escuela sindical</t>
  </si>
  <si>
    <t>Devolución diferencia deposito Corporación</t>
  </si>
  <si>
    <t>Mantención Coñaripe Junio</t>
  </si>
  <si>
    <t>BANCO DE CHILE</t>
  </si>
  <si>
    <t>Cheque depositado devuelto</t>
  </si>
  <si>
    <t>REGIONAL VALDIVIA</t>
  </si>
  <si>
    <t>Pago plan celular julio Yehimy Llamoca</t>
  </si>
  <si>
    <t xml:space="preserve">Aseo y mantención </t>
  </si>
  <si>
    <t>Reemplazo encargado junio</t>
  </si>
  <si>
    <t>SANCHEZ CIA LTDA</t>
  </si>
  <si>
    <t>ANA CANELO</t>
  </si>
  <si>
    <t>Compra detergente Loncura</t>
  </si>
  <si>
    <t>Viatico junio y julio</t>
  </si>
  <si>
    <t>Seminario Justicia</t>
  </si>
  <si>
    <t>Pago cuenta internet Yehimy Llamoca (2)</t>
  </si>
  <si>
    <t>ALEJANDRO DELANO</t>
  </si>
  <si>
    <t>Diseñador Difusiones ilustraciones</t>
  </si>
  <si>
    <t>MARGELIA VALENZUELA</t>
  </si>
  <si>
    <t>Cuota Mortuoria</t>
  </si>
  <si>
    <t>50% reembolso internet teletrabajo junio y julio</t>
  </si>
  <si>
    <t>Consumo agua Mehuin mayo a junio</t>
  </si>
  <si>
    <t>Julio</t>
  </si>
  <si>
    <t>Mantención Cabaña Mehuin Junio y julio</t>
  </si>
  <si>
    <t>Mantención jardines Loncura Julio</t>
  </si>
  <si>
    <t>COMITÉ AGUA COÑARIPE</t>
  </si>
  <si>
    <t>Consumo agua mayo junio</t>
  </si>
  <si>
    <t>REGINA ACOSTA</t>
  </si>
  <si>
    <t>Traslado Febrero a Julio</t>
  </si>
  <si>
    <t>Servicios audiovisuales junio y julio</t>
  </si>
  <si>
    <t>COMITÉ AGUA POTABLE MEHUIN</t>
  </si>
  <si>
    <t>ARIEL QUIJADA</t>
  </si>
  <si>
    <t>Visita Cabañas Coñaripe</t>
  </si>
  <si>
    <t>SOFTLAND INGENIERIA</t>
  </si>
  <si>
    <t xml:space="preserve">Cloud Softland </t>
  </si>
  <si>
    <t>Asesoria directorio Junio y julio</t>
  </si>
  <si>
    <t>Cotizaciones Reg. Malleco Cautin Junio</t>
  </si>
  <si>
    <t>contribuciones</t>
  </si>
  <si>
    <t>CCAF LOS ANDES</t>
  </si>
  <si>
    <t>Devolución Asignación Familiar</t>
  </si>
  <si>
    <t>Devolución prestamo</t>
  </si>
  <si>
    <t>Impto. Regional mas honorarios</t>
  </si>
  <si>
    <t>Deposito regional</t>
  </si>
  <si>
    <t>JULIO 2020</t>
  </si>
  <si>
    <t>SALDO EN CTA. CTE. AL 31/07/2020</t>
  </si>
  <si>
    <t>SANTIAGO, 10/08/2020</t>
  </si>
  <si>
    <t>LILIAN HUANCA</t>
  </si>
  <si>
    <t>GUILLERMO QUIROZ</t>
  </si>
  <si>
    <t>CIENFUEGOS A MAIPU</t>
  </si>
  <si>
    <t>LAS REJAS A PUENTE ALTO</t>
  </si>
  <si>
    <t>CIENFUEGOS A QUILICURA</t>
  </si>
  <si>
    <t>QUILICURA A PUENTE ALTO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</si>
</sst>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1" fontId="3" fillId="0" borderId="4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45" xfId="0" applyNumberFormat="1" applyFont="1" applyFill="1" applyBorder="1" applyAlignment="1">
      <alignment/>
    </xf>
    <xf numFmtId="0" fontId="8" fillId="33" borderId="4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7" xfId="0" applyNumberFormat="1" applyBorder="1" applyAlignment="1">
      <alignment/>
    </xf>
    <xf numFmtId="16" fontId="0" fillId="0" borderId="48" xfId="0" applyNumberFormat="1" applyBorder="1" applyAlignment="1">
      <alignment/>
    </xf>
    <xf numFmtId="16" fontId="0" fillId="0" borderId="49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74"/>
  <sheetViews>
    <sheetView zoomScalePageLayoutView="0" workbookViewId="0" topLeftCell="A1">
      <pane ySplit="7" topLeftCell="A111" activePane="bottomLeft" state="frozen"/>
      <selection pane="topLeft" activeCell="A1" sqref="A1"/>
      <selection pane="bottomLeft" activeCell="E35" sqref="E35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198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125689034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25400121</v>
      </c>
      <c r="G10" s="23"/>
    </row>
    <row r="11" spans="1:7" ht="15" customHeight="1" hidden="1" outlineLevel="2">
      <c r="A11" s="5"/>
      <c r="B11" s="65" t="s">
        <v>34</v>
      </c>
      <c r="C11" s="32">
        <f>84</f>
        <v>84</v>
      </c>
      <c r="D11" s="73"/>
      <c r="E11" s="70">
        <f>462000</f>
        <v>462000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f>1+1+112</f>
        <v>114</v>
      </c>
      <c r="D12" s="73"/>
      <c r="E12" s="70">
        <f>2200+2200+616000</f>
        <v>620400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f>257</f>
        <v>257</v>
      </c>
      <c r="D13" s="73"/>
      <c r="E13" s="70">
        <f>1413500</f>
        <v>1413500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f>160+1</f>
        <v>161</v>
      </c>
      <c r="D14" s="73"/>
      <c r="E14" s="70">
        <f>880000+2100</f>
        <v>882100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175</f>
        <v>175</v>
      </c>
      <c r="D15" s="73"/>
      <c r="E15" s="70">
        <f>962500</f>
        <v>962500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f>475+1+1</f>
        <v>477</v>
      </c>
      <c r="D16" s="73"/>
      <c r="E16" s="70">
        <f>2612500+2200+5300</f>
        <v>2620000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1+1+1+1+594</f>
        <v>598</v>
      </c>
      <c r="D17" s="73"/>
      <c r="E17" s="70">
        <f>2120+13200+2200+2200+3267000</f>
        <v>3286720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v>83</v>
      </c>
      <c r="D18" s="73"/>
      <c r="E18" s="70">
        <f>456500</f>
        <v>456500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v>166</v>
      </c>
      <c r="D19" s="73"/>
      <c r="E19" s="70">
        <f>913000</f>
        <v>913000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1+1+411+1</f>
        <v>414</v>
      </c>
      <c r="D20" s="73"/>
      <c r="E20" s="70">
        <f>2200+2120+2260500+2200</f>
        <v>2267020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f>1+1+156</f>
        <v>158</v>
      </c>
      <c r="D21" s="73"/>
      <c r="E21" s="70">
        <f>2200+1364031+2200</f>
        <v>1368431</v>
      </c>
      <c r="F21" s="6"/>
      <c r="G21" s="23"/>
    </row>
    <row r="22" spans="1:7" ht="15" customHeight="1" hidden="1" outlineLevel="2">
      <c r="A22" s="5"/>
      <c r="B22" s="65" t="s">
        <v>41</v>
      </c>
      <c r="C22" s="32">
        <v>331</v>
      </c>
      <c r="D22" s="73"/>
      <c r="E22" s="70">
        <f>1820500</f>
        <v>1820500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f>101+1+1</f>
        <v>103</v>
      </c>
      <c r="D23" s="73"/>
      <c r="E23" s="70">
        <f>555500+6600</f>
        <v>562100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1+444</f>
        <v>445</v>
      </c>
      <c r="D24" s="73" t="s">
        <v>7</v>
      </c>
      <c r="E24" s="70">
        <f>2100+2436500</f>
        <v>2438600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v>288</v>
      </c>
      <c r="D25" s="73"/>
      <c r="E25" s="70">
        <f>1584000</f>
        <v>1584000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227</f>
        <v>227</v>
      </c>
      <c r="D26" s="73"/>
      <c r="E26" s="70">
        <f>1248500</f>
        <v>1248500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v>205</v>
      </c>
      <c r="D27" s="73"/>
      <c r="E27" s="70">
        <v>1127500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v>131</v>
      </c>
      <c r="D28" s="73"/>
      <c r="E28" s="70">
        <v>720500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f>117+1</f>
        <v>118</v>
      </c>
      <c r="D29" s="73"/>
      <c r="E29" s="78">
        <f>643500+2750</f>
        <v>646250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60</v>
      </c>
      <c r="C32" s="32"/>
      <c r="D32" s="5" t="s">
        <v>84</v>
      </c>
      <c r="E32" s="70"/>
      <c r="F32" s="6"/>
      <c r="G32" s="23"/>
    </row>
    <row r="33" spans="1:7" ht="15" customHeight="1" outlineLevel="2">
      <c r="A33" s="5"/>
      <c r="B33" s="65" t="s">
        <v>61</v>
      </c>
      <c r="C33" s="32"/>
      <c r="D33" s="5" t="s">
        <v>84</v>
      </c>
      <c r="E33" s="70">
        <f>44000</f>
        <v>44000</v>
      </c>
      <c r="F33" s="6"/>
      <c r="G33" s="23"/>
    </row>
    <row r="34" spans="1:7" ht="15" customHeight="1" outlineLevel="2">
      <c r="A34" s="5"/>
      <c r="B34" s="65" t="s">
        <v>137</v>
      </c>
      <c r="C34" s="32"/>
      <c r="D34" s="5" t="s">
        <v>138</v>
      </c>
      <c r="E34" s="70">
        <f>122802</f>
        <v>122802</v>
      </c>
      <c r="F34" s="6"/>
      <c r="G34" s="23"/>
    </row>
    <row r="35" spans="1:7" ht="15" customHeight="1" outlineLevel="2">
      <c r="A35" s="5"/>
      <c r="B35" s="65" t="s">
        <v>193</v>
      </c>
      <c r="C35" s="32"/>
      <c r="D35" s="5" t="s">
        <v>194</v>
      </c>
      <c r="E35" s="70">
        <f>1854+11304+10607</f>
        <v>23765</v>
      </c>
      <c r="F35" s="6"/>
      <c r="G35" s="23"/>
    </row>
    <row r="36" spans="1:7" ht="15" customHeight="1" outlineLevel="2">
      <c r="A36" s="5"/>
      <c r="B36" s="65" t="s">
        <v>134</v>
      </c>
      <c r="C36" s="32"/>
      <c r="D36" s="5" t="s">
        <v>195</v>
      </c>
      <c r="E36" s="70">
        <f>5423898+83331+3199904+20410394+83331</f>
        <v>29200858</v>
      </c>
      <c r="F36" s="6"/>
      <c r="G36" s="23"/>
    </row>
    <row r="37" spans="1:7" ht="15" customHeight="1" outlineLevel="2">
      <c r="A37" s="5"/>
      <c r="B37" s="65" t="s">
        <v>161</v>
      </c>
      <c r="C37" s="32"/>
      <c r="D37" s="5" t="s">
        <v>197</v>
      </c>
      <c r="E37" s="70">
        <v>14831419</v>
      </c>
      <c r="F37" s="6"/>
      <c r="G37" s="23"/>
    </row>
    <row r="38" spans="1:7" ht="15" customHeight="1" outlineLevel="2">
      <c r="A38" s="5"/>
      <c r="B38" s="65" t="s">
        <v>102</v>
      </c>
      <c r="C38" s="32"/>
      <c r="D38" s="5" t="s">
        <v>101</v>
      </c>
      <c r="E38" s="70">
        <v>12889989</v>
      </c>
      <c r="F38" s="6"/>
      <c r="G38" s="23"/>
    </row>
    <row r="39" spans="1:7" ht="15" customHeight="1" outlineLevel="2">
      <c r="A39" s="5"/>
      <c r="B39" s="65" t="s">
        <v>98</v>
      </c>
      <c r="C39" s="32"/>
      <c r="D39" s="5" t="s">
        <v>196</v>
      </c>
      <c r="E39" s="70">
        <f>60224+40000+60224</f>
        <v>160448</v>
      </c>
      <c r="F39" s="6"/>
      <c r="G39" s="23"/>
    </row>
    <row r="40" spans="1:7" ht="15" customHeight="1" outlineLevel="2">
      <c r="A40" s="5"/>
      <c r="B40" s="65" t="s">
        <v>25</v>
      </c>
      <c r="C40" s="32"/>
      <c r="D40" s="5" t="s">
        <v>139</v>
      </c>
      <c r="E40" s="70"/>
      <c r="F40" s="6"/>
      <c r="G40" s="23"/>
    </row>
    <row r="41" spans="1:7" ht="15" customHeight="1" outlineLevel="2">
      <c r="A41" s="5"/>
      <c r="B41" s="65" t="s">
        <v>109</v>
      </c>
      <c r="C41" s="32"/>
      <c r="D41" s="5" t="s">
        <v>99</v>
      </c>
      <c r="E41" s="78">
        <v>161190</v>
      </c>
      <c r="F41" s="6">
        <f>SUM(E32:E41)</f>
        <v>57434471</v>
      </c>
      <c r="G41" s="23"/>
    </row>
    <row r="42" spans="1:7" ht="15" customHeight="1" outlineLevel="2">
      <c r="A42" s="5"/>
      <c r="B42" s="65"/>
      <c r="C42" s="32"/>
      <c r="D42" s="5"/>
      <c r="E42" s="78"/>
      <c r="F42" s="6"/>
      <c r="G42" s="23"/>
    </row>
    <row r="43" spans="1:7" ht="15" customHeight="1" outlineLevel="2">
      <c r="A43" s="5" t="s">
        <v>7</v>
      </c>
      <c r="B43" s="86" t="s">
        <v>8</v>
      </c>
      <c r="C43" s="33"/>
      <c r="D43" s="11"/>
      <c r="E43" s="70"/>
      <c r="F43" s="6"/>
      <c r="G43" s="23"/>
    </row>
    <row r="44" spans="1:7" ht="15" customHeight="1" outlineLevel="2">
      <c r="A44" s="5"/>
      <c r="B44" s="65" t="s">
        <v>49</v>
      </c>
      <c r="C44" s="33"/>
      <c r="D44" s="5" t="s">
        <v>84</v>
      </c>
      <c r="E44" s="70">
        <f>42000+120000+37500+42000+42000+45000+84000+73815+42000+42000</f>
        <v>570315</v>
      </c>
      <c r="F44" s="6"/>
      <c r="G44" s="24"/>
    </row>
    <row r="45" spans="1:7" ht="15" customHeight="1" outlineLevel="2" thickBot="1">
      <c r="A45" s="5"/>
      <c r="B45" s="88" t="s">
        <v>9</v>
      </c>
      <c r="C45" s="32"/>
      <c r="D45" s="61" t="s">
        <v>84</v>
      </c>
      <c r="E45" s="92">
        <f>62424+36908+73815+97920+101000+52725+190947+84360+81200+80000+85176+35150+56400+62870+189810+173265+63270+73815+69000+59196+94150+56240+48206+55845+3298+118998+746071+43605+88578+55361+38007+48985+63070+36480+46134+59052+48000+76217+42180+100800+36908</f>
        <v>3635436</v>
      </c>
      <c r="F45" s="68">
        <f>SUM(E44:E45)</f>
        <v>4205751</v>
      </c>
      <c r="G45" s="91"/>
    </row>
    <row r="46" spans="1:7" ht="11.25" outlineLevel="2">
      <c r="A46" s="5"/>
      <c r="B46" s="89" t="s">
        <v>10</v>
      </c>
      <c r="C46" s="80"/>
      <c r="D46" s="5"/>
      <c r="E46" s="65"/>
      <c r="F46" s="6"/>
      <c r="G46" s="69"/>
    </row>
    <row r="47" spans="1:7" ht="15" customHeight="1" outlineLevel="2">
      <c r="A47" s="5"/>
      <c r="B47" s="86" t="s">
        <v>11</v>
      </c>
      <c r="C47" s="81"/>
      <c r="D47" s="11"/>
      <c r="E47" s="70"/>
      <c r="F47" s="6"/>
      <c r="G47" s="69"/>
    </row>
    <row r="48" spans="1:7" ht="14.25" customHeight="1" outlineLevel="2">
      <c r="A48" s="5"/>
      <c r="B48" s="65" t="s">
        <v>89</v>
      </c>
      <c r="C48" s="81"/>
      <c r="D48" s="5" t="s">
        <v>191</v>
      </c>
      <c r="E48" s="70">
        <v>161190</v>
      </c>
      <c r="F48" s="6"/>
      <c r="G48" s="69"/>
    </row>
    <row r="49" spans="1:7" ht="14.25" customHeight="1" outlineLevel="2">
      <c r="A49" s="5"/>
      <c r="B49" s="65" t="s">
        <v>89</v>
      </c>
      <c r="C49" s="81"/>
      <c r="D49" s="5" t="s">
        <v>141</v>
      </c>
      <c r="E49" s="70">
        <v>73361</v>
      </c>
      <c r="F49" s="6"/>
      <c r="G49" s="69"/>
    </row>
    <row r="50" spans="1:7" ht="14.25" customHeight="1" outlineLevel="2">
      <c r="A50" s="5"/>
      <c r="B50" s="65" t="s">
        <v>188</v>
      </c>
      <c r="C50" s="81"/>
      <c r="D50" s="5" t="s">
        <v>189</v>
      </c>
      <c r="E50" s="70">
        <v>852527</v>
      </c>
      <c r="F50" s="6"/>
      <c r="G50" s="69"/>
    </row>
    <row r="51" spans="1:7" ht="14.25" customHeight="1" outlineLevel="2">
      <c r="A51" s="5"/>
      <c r="B51" s="65" t="s">
        <v>150</v>
      </c>
      <c r="C51" s="81"/>
      <c r="D51" s="5" t="s">
        <v>151</v>
      </c>
      <c r="E51" s="70">
        <v>700000</v>
      </c>
      <c r="F51" s="6"/>
      <c r="G51" s="69"/>
    </row>
    <row r="52" spans="1:7" ht="14.25" customHeight="1" outlineLevel="2">
      <c r="A52" s="5"/>
      <c r="B52" s="65" t="s">
        <v>70</v>
      </c>
      <c r="C52" s="81"/>
      <c r="D52" s="5" t="s">
        <v>175</v>
      </c>
      <c r="E52" s="70">
        <f>10631+10156</f>
        <v>20787</v>
      </c>
      <c r="F52" s="6"/>
      <c r="G52" s="69"/>
    </row>
    <row r="53" spans="1:7" ht="14.25" customHeight="1" outlineLevel="2">
      <c r="A53" s="5"/>
      <c r="B53" s="65" t="s">
        <v>90</v>
      </c>
      <c r="C53" s="81"/>
      <c r="D53" s="5" t="s">
        <v>175</v>
      </c>
      <c r="E53" s="70">
        <f>7995+7995</f>
        <v>15990</v>
      </c>
      <c r="F53" s="6"/>
      <c r="G53" s="69"/>
    </row>
    <row r="54" spans="1:7" ht="14.25" customHeight="1" outlineLevel="2">
      <c r="A54" s="5"/>
      <c r="B54" s="65" t="s">
        <v>64</v>
      </c>
      <c r="C54" s="81"/>
      <c r="D54" s="5" t="s">
        <v>175</v>
      </c>
      <c r="E54" s="70">
        <f>12579+12579</f>
        <v>25158</v>
      </c>
      <c r="F54" s="6"/>
      <c r="G54" s="69"/>
    </row>
    <row r="55" spans="1:7" ht="14.25" customHeight="1" outlineLevel="2">
      <c r="A55" s="5"/>
      <c r="B55" s="65" t="s">
        <v>123</v>
      </c>
      <c r="C55" s="81"/>
      <c r="D55" s="5" t="s">
        <v>162</v>
      </c>
      <c r="E55" s="70">
        <v>7990</v>
      </c>
      <c r="F55" s="6"/>
      <c r="G55" s="69"/>
    </row>
    <row r="56" spans="1:7" ht="14.25" customHeight="1" outlineLevel="2">
      <c r="A56" s="5"/>
      <c r="B56" s="65" t="s">
        <v>128</v>
      </c>
      <c r="C56" s="81"/>
      <c r="D56" s="5" t="s">
        <v>170</v>
      </c>
      <c r="E56" s="70">
        <f>20990+20990</f>
        <v>41980</v>
      </c>
      <c r="F56" s="6"/>
      <c r="G56" s="69"/>
    </row>
    <row r="57" spans="1:7" ht="14.25" customHeight="1" outlineLevel="2">
      <c r="A57" s="5"/>
      <c r="B57" s="65" t="s">
        <v>154</v>
      </c>
      <c r="C57" s="81"/>
      <c r="D57" s="5" t="s">
        <v>155</v>
      </c>
      <c r="E57" s="70">
        <v>28117</v>
      </c>
      <c r="F57" s="6"/>
      <c r="G57" s="69"/>
    </row>
    <row r="58" spans="1:7" ht="14.25" customHeight="1" outlineLevel="2">
      <c r="A58" s="5"/>
      <c r="B58" s="65" t="s">
        <v>117</v>
      </c>
      <c r="C58" s="81"/>
      <c r="D58" s="5" t="s">
        <v>118</v>
      </c>
      <c r="E58" s="70">
        <v>10435</v>
      </c>
      <c r="F58" s="6"/>
      <c r="G58" s="69"/>
    </row>
    <row r="59" spans="1:7" ht="14.25" customHeight="1" outlineLevel="2">
      <c r="A59" s="5"/>
      <c r="B59" s="65" t="s">
        <v>161</v>
      </c>
      <c r="C59" s="81"/>
      <c r="D59" s="5" t="s">
        <v>119</v>
      </c>
      <c r="E59" s="70">
        <f>540437+5000000+2569846+44224+218273+4979148</f>
        <v>13351928</v>
      </c>
      <c r="F59" s="6"/>
      <c r="G59" s="69"/>
    </row>
    <row r="60" spans="1:7" ht="14.25" customHeight="1" outlineLevel="2">
      <c r="A60" s="5"/>
      <c r="B60" s="65" t="s">
        <v>102</v>
      </c>
      <c r="C60" s="81"/>
      <c r="D60" s="5" t="s">
        <v>119</v>
      </c>
      <c r="E60" s="70">
        <f>230397+712676+4815078+5000000+31260+2100578</f>
        <v>12889989</v>
      </c>
      <c r="F60" s="6"/>
      <c r="G60" s="69"/>
    </row>
    <row r="61" spans="1:7" ht="14.25" customHeight="1" outlineLevel="2">
      <c r="A61" s="5"/>
      <c r="B61" s="65" t="s">
        <v>100</v>
      </c>
      <c r="C61" s="81"/>
      <c r="D61" s="5" t="s">
        <v>119</v>
      </c>
      <c r="E61" s="70">
        <f>3679660+5000000</f>
        <v>8679660</v>
      </c>
      <c r="F61" s="6"/>
      <c r="G61" s="69"/>
    </row>
    <row r="62" spans="1:7" ht="14.25" customHeight="1" outlineLevel="2">
      <c r="A62" s="5"/>
      <c r="B62" s="65" t="s">
        <v>134</v>
      </c>
      <c r="C62" s="81"/>
      <c r="D62" s="5" t="s">
        <v>157</v>
      </c>
      <c r="E62" s="70">
        <v>619835</v>
      </c>
      <c r="F62" s="6"/>
      <c r="G62" s="69"/>
    </row>
    <row r="63" spans="1:7" ht="14.25" customHeight="1" outlineLevel="2">
      <c r="A63" s="5"/>
      <c r="B63" s="65" t="s">
        <v>52</v>
      </c>
      <c r="C63" s="81"/>
      <c r="D63" s="5" t="s">
        <v>152</v>
      </c>
      <c r="E63" s="70">
        <v>8000</v>
      </c>
      <c r="F63" s="6"/>
      <c r="G63" s="69"/>
    </row>
    <row r="64" spans="1:7" ht="14.25" customHeight="1" outlineLevel="2">
      <c r="A64" s="5"/>
      <c r="B64" s="65" t="s">
        <v>86</v>
      </c>
      <c r="C64" s="81"/>
      <c r="D64" s="5" t="s">
        <v>87</v>
      </c>
      <c r="E64" s="70">
        <f>80000</f>
        <v>80000</v>
      </c>
      <c r="F64" s="6"/>
      <c r="G64" s="69"/>
    </row>
    <row r="65" spans="1:7" ht="14.25" customHeight="1" outlineLevel="2">
      <c r="A65" s="5"/>
      <c r="B65" s="65" t="s">
        <v>86</v>
      </c>
      <c r="C65" s="81"/>
      <c r="D65" s="5" t="s">
        <v>156</v>
      </c>
      <c r="E65" s="70">
        <v>75000</v>
      </c>
      <c r="F65" s="6"/>
      <c r="G65" s="69"/>
    </row>
    <row r="66" spans="1:7" ht="14.25" customHeight="1" outlineLevel="2">
      <c r="A66" s="5"/>
      <c r="B66" s="65" t="s">
        <v>86</v>
      </c>
      <c r="C66" s="81"/>
      <c r="D66" s="5" t="s">
        <v>169</v>
      </c>
      <c r="E66" s="70">
        <v>20000</v>
      </c>
      <c r="F66" s="6"/>
      <c r="G66" s="69"/>
    </row>
    <row r="67" spans="1:7" ht="14.25" customHeight="1" outlineLevel="2">
      <c r="A67" s="5"/>
      <c r="B67" s="65" t="s">
        <v>144</v>
      </c>
      <c r="C67" s="81"/>
      <c r="D67" s="5" t="s">
        <v>145</v>
      </c>
      <c r="E67" s="70">
        <v>52848</v>
      </c>
      <c r="F67" s="6"/>
      <c r="G67" s="69"/>
    </row>
    <row r="68" spans="1:7" ht="14.25" customHeight="1" outlineLevel="2">
      <c r="A68" s="5"/>
      <c r="B68" s="65" t="s">
        <v>104</v>
      </c>
      <c r="C68" s="81"/>
      <c r="D68" s="5" t="s">
        <v>105</v>
      </c>
      <c r="E68" s="70">
        <v>20172</v>
      </c>
      <c r="F68" s="6"/>
      <c r="G68" s="69"/>
    </row>
    <row r="69" spans="1:7" ht="15" customHeight="1" outlineLevel="2">
      <c r="A69" s="5"/>
      <c r="B69" s="65" t="s">
        <v>73</v>
      </c>
      <c r="C69" s="81"/>
      <c r="D69" s="5" t="s">
        <v>79</v>
      </c>
      <c r="E69" s="70">
        <f>2187</f>
        <v>2187</v>
      </c>
      <c r="F69" s="6"/>
      <c r="G69" s="69"/>
    </row>
    <row r="70" spans="1:7" ht="15" customHeight="1" outlineLevel="2">
      <c r="A70" s="5"/>
      <c r="B70" s="65" t="s">
        <v>92</v>
      </c>
      <c r="C70" s="81"/>
      <c r="D70" s="5" t="s">
        <v>93</v>
      </c>
      <c r="E70" s="70">
        <v>36057</v>
      </c>
      <c r="F70" s="6"/>
      <c r="G70" s="69"/>
    </row>
    <row r="71" spans="1:7" ht="15" customHeight="1" outlineLevel="2">
      <c r="A71" s="5"/>
      <c r="B71" s="65" t="s">
        <v>23</v>
      </c>
      <c r="C71" s="81"/>
      <c r="D71" s="5" t="s">
        <v>82</v>
      </c>
      <c r="E71" s="70">
        <f>63272+30434</f>
        <v>93706</v>
      </c>
      <c r="F71" s="6"/>
      <c r="G71" s="69"/>
    </row>
    <row r="72" spans="1:7" ht="15" customHeight="1" outlineLevel="2">
      <c r="A72" s="5"/>
      <c r="B72" s="65" t="s">
        <v>23</v>
      </c>
      <c r="C72" s="81"/>
      <c r="D72" s="5" t="s">
        <v>81</v>
      </c>
      <c r="E72" s="78">
        <v>29544</v>
      </c>
      <c r="F72" s="6"/>
      <c r="G72" s="69">
        <f>SUM(E48:E72)</f>
        <v>37896461</v>
      </c>
    </row>
    <row r="73" spans="1:7" ht="15" customHeight="1" outlineLevel="2">
      <c r="A73" s="5"/>
      <c r="B73" s="65"/>
      <c r="C73" s="81"/>
      <c r="D73" s="5"/>
      <c r="E73" s="78"/>
      <c r="F73" s="6"/>
      <c r="G73" s="69"/>
    </row>
    <row r="74" spans="1:7" ht="15" customHeight="1" outlineLevel="2">
      <c r="A74" s="5"/>
      <c r="B74" s="86" t="s">
        <v>8</v>
      </c>
      <c r="C74" s="81"/>
      <c r="D74" s="11"/>
      <c r="E74" s="70"/>
      <c r="F74" s="6"/>
      <c r="G74" s="69"/>
    </row>
    <row r="75" spans="1:7" ht="15" customHeight="1" outlineLevel="2">
      <c r="A75" s="5"/>
      <c r="B75" s="65" t="s">
        <v>115</v>
      </c>
      <c r="C75" s="81"/>
      <c r="D75" s="5" t="s">
        <v>179</v>
      </c>
      <c r="E75" s="70">
        <v>125000</v>
      </c>
      <c r="F75" s="6"/>
      <c r="G75" s="69"/>
    </row>
    <row r="76" spans="1:7" ht="15" customHeight="1" outlineLevel="2">
      <c r="A76" s="5"/>
      <c r="B76" s="65" t="s">
        <v>186</v>
      </c>
      <c r="C76" s="81"/>
      <c r="D76" s="5" t="s">
        <v>187</v>
      </c>
      <c r="E76" s="70">
        <v>66700</v>
      </c>
      <c r="F76" s="6"/>
      <c r="G76" s="69"/>
    </row>
    <row r="77" spans="1:7" ht="15" customHeight="1" outlineLevel="2">
      <c r="A77" s="5"/>
      <c r="B77" s="65" t="s">
        <v>116</v>
      </c>
      <c r="C77" s="81"/>
      <c r="D77" s="5" t="s">
        <v>178</v>
      </c>
      <c r="E77" s="70">
        <f>25000+25000</f>
        <v>50000</v>
      </c>
      <c r="F77" s="6"/>
      <c r="G77" s="69"/>
    </row>
    <row r="78" spans="1:7" ht="15" customHeight="1" outlineLevel="2" thickBot="1">
      <c r="A78" s="5"/>
      <c r="B78" s="95" t="s">
        <v>166</v>
      </c>
      <c r="C78" s="94"/>
      <c r="D78" s="95" t="s">
        <v>167</v>
      </c>
      <c r="E78" s="96">
        <v>17910</v>
      </c>
      <c r="F78" s="97"/>
      <c r="G78" s="97"/>
    </row>
    <row r="79" spans="1:7" ht="15" customHeight="1" outlineLevel="2" thickTop="1">
      <c r="A79" s="5"/>
      <c r="B79" s="65" t="s">
        <v>165</v>
      </c>
      <c r="C79" s="81"/>
      <c r="D79" s="5" t="s">
        <v>147</v>
      </c>
      <c r="E79" s="70">
        <v>30875</v>
      </c>
      <c r="F79" s="6"/>
      <c r="G79" s="69"/>
    </row>
    <row r="80" spans="1:7" ht="15" customHeight="1" outlineLevel="2">
      <c r="A80" s="5"/>
      <c r="B80" s="65" t="s">
        <v>103</v>
      </c>
      <c r="C80" s="81"/>
      <c r="D80" s="5" t="s">
        <v>158</v>
      </c>
      <c r="E80" s="70">
        <v>150000</v>
      </c>
      <c r="F80" s="6"/>
      <c r="G80" s="69"/>
    </row>
    <row r="81" spans="1:7" ht="15" customHeight="1" outlineLevel="2">
      <c r="A81" s="5"/>
      <c r="B81" s="65" t="s">
        <v>159</v>
      </c>
      <c r="C81" s="81"/>
      <c r="D81" s="5" t="s">
        <v>160</v>
      </c>
      <c r="E81" s="70">
        <v>189810</v>
      </c>
      <c r="F81" s="6"/>
      <c r="G81" s="69"/>
    </row>
    <row r="82" spans="1:7" ht="15" customHeight="1" outlineLevel="2">
      <c r="A82" s="5"/>
      <c r="B82" s="65" t="s">
        <v>185</v>
      </c>
      <c r="C82" s="81"/>
      <c r="D82" s="5" t="s">
        <v>176</v>
      </c>
      <c r="E82" s="70">
        <v>35700</v>
      </c>
      <c r="F82" s="6"/>
      <c r="G82" s="69"/>
    </row>
    <row r="83" spans="1:7" ht="15" customHeight="1" outlineLevel="2">
      <c r="A83" s="5"/>
      <c r="B83" s="65" t="s">
        <v>180</v>
      </c>
      <c r="C83" s="81"/>
      <c r="D83" s="5" t="s">
        <v>181</v>
      </c>
      <c r="E83" s="70">
        <v>6712</v>
      </c>
      <c r="F83" s="6"/>
      <c r="G83" s="69"/>
    </row>
    <row r="84" spans="1:7" ht="15" customHeight="1" outlineLevel="2">
      <c r="A84" s="5"/>
      <c r="B84" s="65" t="s">
        <v>113</v>
      </c>
      <c r="C84" s="81"/>
      <c r="D84" s="5" t="s">
        <v>114</v>
      </c>
      <c r="E84" s="70">
        <f>15956+42720+17529</f>
        <v>76205</v>
      </c>
      <c r="F84" s="6"/>
      <c r="G84" s="69"/>
    </row>
    <row r="85" spans="1:7" ht="15" customHeight="1" outlineLevel="2">
      <c r="A85" s="5"/>
      <c r="B85" s="65" t="s">
        <v>59</v>
      </c>
      <c r="C85" s="81"/>
      <c r="D85" s="5" t="s">
        <v>80</v>
      </c>
      <c r="E85" s="70">
        <f>200+6000</f>
        <v>6200</v>
      </c>
      <c r="F85" s="6"/>
      <c r="G85" s="69"/>
    </row>
    <row r="86" spans="1:7" ht="15" customHeight="1" outlineLevel="2">
      <c r="A86" s="5"/>
      <c r="B86" s="65" t="s">
        <v>47</v>
      </c>
      <c r="C86" s="81"/>
      <c r="D86" s="5" t="s">
        <v>83</v>
      </c>
      <c r="E86" s="78">
        <v>351095</v>
      </c>
      <c r="F86" s="6"/>
      <c r="G86" s="69">
        <f>SUM(E75:E86)</f>
        <v>1106207</v>
      </c>
    </row>
    <row r="87" spans="1:7" ht="15" customHeight="1" outlineLevel="2">
      <c r="A87" s="5"/>
      <c r="B87" s="65"/>
      <c r="C87" s="81"/>
      <c r="D87" s="5"/>
      <c r="E87" s="78"/>
      <c r="F87" s="6"/>
      <c r="G87" s="69"/>
    </row>
    <row r="88" spans="1:7" ht="15" customHeight="1" outlineLevel="2">
      <c r="A88" s="5"/>
      <c r="B88" s="86" t="s">
        <v>18</v>
      </c>
      <c r="C88" s="81"/>
      <c r="D88" s="5"/>
      <c r="E88" s="70"/>
      <c r="F88" s="6"/>
      <c r="G88" s="69"/>
    </row>
    <row r="89" spans="1:7" ht="15" customHeight="1" outlineLevel="2">
      <c r="A89" s="5"/>
      <c r="B89" s="65" t="s">
        <v>22</v>
      </c>
      <c r="C89" s="81"/>
      <c r="D89" s="5" t="s">
        <v>133</v>
      </c>
      <c r="E89" s="70">
        <v>552037</v>
      </c>
      <c r="F89" s="6"/>
      <c r="G89" s="69">
        <f>E89</f>
        <v>552037</v>
      </c>
    </row>
    <row r="90" spans="1:7" ht="15" customHeight="1" outlineLevel="2">
      <c r="A90" s="5"/>
      <c r="B90" s="65"/>
      <c r="C90" s="81"/>
      <c r="D90" s="5"/>
      <c r="E90" s="78"/>
      <c r="F90" s="6"/>
      <c r="G90" s="69"/>
    </row>
    <row r="91" spans="1:7" ht="15" customHeight="1" hidden="1" outlineLevel="2" thickTop="1">
      <c r="A91" s="5"/>
      <c r="B91" s="65"/>
      <c r="C91" s="81"/>
      <c r="D91" s="5"/>
      <c r="E91" s="78"/>
      <c r="F91" s="6"/>
      <c r="G91" s="69"/>
    </row>
    <row r="92" spans="1:7" ht="15" customHeight="1" outlineLevel="2">
      <c r="A92" s="5"/>
      <c r="B92" s="86" t="s">
        <v>58</v>
      </c>
      <c r="C92" s="81"/>
      <c r="D92" s="5"/>
      <c r="E92" s="78"/>
      <c r="F92" s="6"/>
      <c r="G92" s="69"/>
    </row>
    <row r="93" spans="1:7" ht="15" customHeight="1" outlineLevel="2">
      <c r="A93" s="5"/>
      <c r="B93" s="65" t="s">
        <v>72</v>
      </c>
      <c r="C93" s="81"/>
      <c r="D93" s="5" t="s">
        <v>153</v>
      </c>
      <c r="E93" s="70">
        <v>900086</v>
      </c>
      <c r="F93" s="6"/>
      <c r="G93" s="69"/>
    </row>
    <row r="94" spans="1:7" ht="15" customHeight="1" outlineLevel="2">
      <c r="A94" s="5"/>
      <c r="B94" s="65" t="s">
        <v>111</v>
      </c>
      <c r="C94" s="81"/>
      <c r="D94" s="5" t="s">
        <v>190</v>
      </c>
      <c r="E94" s="70">
        <f>600000+600000</f>
        <v>1200000</v>
      </c>
      <c r="F94" s="6"/>
      <c r="G94" s="69"/>
    </row>
    <row r="95" spans="1:7" ht="15" customHeight="1" outlineLevel="2">
      <c r="A95" s="5"/>
      <c r="B95" s="65" t="s">
        <v>142</v>
      </c>
      <c r="C95" s="81"/>
      <c r="D95" s="5" t="s">
        <v>143</v>
      </c>
      <c r="E95" s="70">
        <v>680280</v>
      </c>
      <c r="F95" s="6"/>
      <c r="G95" s="69"/>
    </row>
    <row r="96" spans="1:7" ht="15" customHeight="1" outlineLevel="2">
      <c r="A96" s="5"/>
      <c r="B96" s="65" t="s">
        <v>110</v>
      </c>
      <c r="C96" s="81"/>
      <c r="D96" s="5" t="s">
        <v>184</v>
      </c>
      <c r="E96" s="78">
        <f>250000+250000</f>
        <v>500000</v>
      </c>
      <c r="F96" s="6"/>
      <c r="G96" s="69">
        <f>SUM(E93:E96)</f>
        <v>3280366</v>
      </c>
    </row>
    <row r="97" spans="1:7" ht="15" customHeight="1" outlineLevel="2">
      <c r="A97" s="5"/>
      <c r="B97" s="65"/>
      <c r="C97" s="81"/>
      <c r="D97" s="5"/>
      <c r="E97" s="78"/>
      <c r="F97" s="6"/>
      <c r="G97" s="69"/>
    </row>
    <row r="98" spans="1:7" ht="15" customHeight="1" outlineLevel="2">
      <c r="A98" s="5"/>
      <c r="B98" s="86" t="s">
        <v>19</v>
      </c>
      <c r="C98" s="81"/>
      <c r="D98" s="5"/>
      <c r="E98" s="70"/>
      <c r="F98" s="6"/>
      <c r="G98" s="69"/>
    </row>
    <row r="99" spans="1:7" ht="15" customHeight="1" outlineLevel="2">
      <c r="A99" s="5"/>
      <c r="B99" s="65" t="s">
        <v>124</v>
      </c>
      <c r="C99" s="81"/>
      <c r="D99" s="5" t="s">
        <v>168</v>
      </c>
      <c r="E99" s="70">
        <f aca="true" t="shared" si="0" ref="E99:E105">10000+10000</f>
        <v>20000</v>
      </c>
      <c r="F99" s="6"/>
      <c r="G99" s="69"/>
    </row>
    <row r="100" spans="1:7" ht="15" customHeight="1" outlineLevel="2">
      <c r="A100" s="5"/>
      <c r="B100" s="65" t="s">
        <v>125</v>
      </c>
      <c r="C100" s="81"/>
      <c r="D100" s="5" t="s">
        <v>168</v>
      </c>
      <c r="E100" s="70">
        <f t="shared" si="0"/>
        <v>20000</v>
      </c>
      <c r="F100" s="6"/>
      <c r="G100" s="69"/>
    </row>
    <row r="101" spans="1:7" ht="15" customHeight="1" outlineLevel="2">
      <c r="A101" s="5"/>
      <c r="B101" s="65" t="s">
        <v>126</v>
      </c>
      <c r="C101" s="81"/>
      <c r="D101" s="5" t="s">
        <v>168</v>
      </c>
      <c r="E101" s="70">
        <f t="shared" si="0"/>
        <v>20000</v>
      </c>
      <c r="F101" s="6"/>
      <c r="G101" s="69"/>
    </row>
    <row r="102" spans="1:7" ht="15" customHeight="1" outlineLevel="2">
      <c r="A102" s="5"/>
      <c r="B102" s="65" t="s">
        <v>127</v>
      </c>
      <c r="C102" s="81"/>
      <c r="D102" s="5" t="s">
        <v>168</v>
      </c>
      <c r="E102" s="70">
        <f t="shared" si="0"/>
        <v>20000</v>
      </c>
      <c r="F102" s="6"/>
      <c r="G102" s="69"/>
    </row>
    <row r="103" spans="1:7" ht="15" customHeight="1" outlineLevel="2">
      <c r="A103" s="5"/>
      <c r="B103" s="65" t="s">
        <v>129</v>
      </c>
      <c r="C103" s="81"/>
      <c r="D103" s="5" t="s">
        <v>168</v>
      </c>
      <c r="E103" s="70">
        <f t="shared" si="0"/>
        <v>20000</v>
      </c>
      <c r="F103" s="6"/>
      <c r="G103" s="69"/>
    </row>
    <row r="104" spans="1:7" ht="15" customHeight="1" outlineLevel="2">
      <c r="A104" s="5"/>
      <c r="B104" s="65" t="s">
        <v>132</v>
      </c>
      <c r="C104" s="81"/>
      <c r="D104" s="5" t="s">
        <v>168</v>
      </c>
      <c r="E104" s="70">
        <f t="shared" si="0"/>
        <v>20000</v>
      </c>
      <c r="F104" s="6"/>
      <c r="G104" s="69"/>
    </row>
    <row r="105" spans="1:7" ht="15" customHeight="1" outlineLevel="2">
      <c r="A105" s="5"/>
      <c r="B105" s="65" t="s">
        <v>131</v>
      </c>
      <c r="C105" s="81"/>
      <c r="D105" s="5" t="s">
        <v>168</v>
      </c>
      <c r="E105" s="70">
        <f t="shared" si="0"/>
        <v>20000</v>
      </c>
      <c r="F105" s="6"/>
      <c r="G105" s="69"/>
    </row>
    <row r="106" spans="1:7" ht="15" customHeight="1" outlineLevel="2">
      <c r="A106" s="5"/>
      <c r="B106" s="66" t="s">
        <v>20</v>
      </c>
      <c r="C106" s="81"/>
      <c r="D106" s="5"/>
      <c r="E106" s="70"/>
      <c r="F106" s="6"/>
      <c r="G106" s="69"/>
    </row>
    <row r="107" spans="1:7" ht="15" customHeight="1" outlineLevel="2">
      <c r="A107" s="5"/>
      <c r="B107" s="65" t="s">
        <v>171</v>
      </c>
      <c r="C107" s="81"/>
      <c r="D107" s="5" t="s">
        <v>172</v>
      </c>
      <c r="E107" s="70">
        <v>200000</v>
      </c>
      <c r="F107" s="6"/>
      <c r="G107" s="69"/>
    </row>
    <row r="108" spans="1:7" ht="15" customHeight="1" outlineLevel="2">
      <c r="A108" s="5"/>
      <c r="B108" s="65" t="s">
        <v>182</v>
      </c>
      <c r="C108" s="81"/>
      <c r="D108" s="5" t="s">
        <v>183</v>
      </c>
      <c r="E108" s="70">
        <v>356670</v>
      </c>
      <c r="F108" s="6"/>
      <c r="G108" s="69"/>
    </row>
    <row r="109" spans="1:7" ht="15" customHeight="1" outlineLevel="2">
      <c r="A109" s="5"/>
      <c r="B109" s="65" t="s">
        <v>128</v>
      </c>
      <c r="C109" s="81"/>
      <c r="D109" s="5" t="s">
        <v>130</v>
      </c>
      <c r="E109" s="78">
        <v>24015</v>
      </c>
      <c r="F109" s="6"/>
      <c r="G109" s="69">
        <f>SUM(E99:E109)</f>
        <v>720685</v>
      </c>
    </row>
    <row r="110" spans="1:7" ht="15" customHeight="1" outlineLevel="2" thickBot="1">
      <c r="A110" s="5"/>
      <c r="B110" s="95"/>
      <c r="C110" s="81"/>
      <c r="D110" s="95"/>
      <c r="E110" s="99"/>
      <c r="F110" s="97"/>
      <c r="G110" s="97"/>
    </row>
    <row r="111" spans="5:7" s="5" customFormat="1" ht="15" customHeight="1" outlineLevel="2" thickTop="1">
      <c r="E111" s="98"/>
      <c r="F111" s="6"/>
      <c r="G111" s="6"/>
    </row>
    <row r="112" spans="1:7" ht="15" customHeight="1" outlineLevel="2">
      <c r="A112" s="5"/>
      <c r="B112" s="66" t="s">
        <v>76</v>
      </c>
      <c r="C112" s="81"/>
      <c r="D112" s="5"/>
      <c r="E112" s="70"/>
      <c r="F112" s="6"/>
      <c r="G112" s="69"/>
    </row>
    <row r="113" spans="1:7" ht="15" customHeight="1" outlineLevel="2">
      <c r="A113" s="5"/>
      <c r="B113" s="65" t="s">
        <v>106</v>
      </c>
      <c r="C113" s="81"/>
      <c r="D113" s="5" t="s">
        <v>107</v>
      </c>
      <c r="E113" s="70">
        <f>125321</f>
        <v>125321</v>
      </c>
      <c r="F113" s="6"/>
      <c r="G113" s="69"/>
    </row>
    <row r="114" spans="1:7" ht="15" customHeight="1" outlineLevel="2">
      <c r="A114" s="5"/>
      <c r="B114" s="65" t="s">
        <v>136</v>
      </c>
      <c r="C114" s="81"/>
      <c r="D114" s="5" t="s">
        <v>192</v>
      </c>
      <c r="E114" s="70">
        <v>468089</v>
      </c>
      <c r="F114" s="6"/>
      <c r="G114" s="69"/>
    </row>
    <row r="115" spans="1:7" ht="15" customHeight="1" outlineLevel="2">
      <c r="A115" s="5"/>
      <c r="B115" s="65" t="s">
        <v>92</v>
      </c>
      <c r="C115" s="81"/>
      <c r="D115" s="5" t="s">
        <v>140</v>
      </c>
      <c r="E115" s="70">
        <v>116420</v>
      </c>
      <c r="F115" s="6"/>
      <c r="G115" s="69"/>
    </row>
    <row r="116" spans="1:7" ht="15" customHeight="1" outlineLevel="2">
      <c r="A116" s="5"/>
      <c r="B116" s="65" t="s">
        <v>73</v>
      </c>
      <c r="C116" s="81"/>
      <c r="D116" s="5" t="s">
        <v>112</v>
      </c>
      <c r="E116" s="78">
        <v>1980</v>
      </c>
      <c r="F116" s="6"/>
      <c r="G116" s="69">
        <f>SUM(E113:E116)</f>
        <v>711810</v>
      </c>
    </row>
    <row r="117" spans="1:7" ht="15" customHeight="1" outlineLevel="2">
      <c r="A117" s="5"/>
      <c r="B117" s="65"/>
      <c r="C117" s="81"/>
      <c r="D117" s="5"/>
      <c r="E117" s="78"/>
      <c r="F117" s="6"/>
      <c r="G117" s="69"/>
    </row>
    <row r="118" spans="1:7" ht="15.75" customHeight="1" outlineLevel="2">
      <c r="A118" s="5"/>
      <c r="B118" s="86" t="s">
        <v>6</v>
      </c>
      <c r="C118" s="81"/>
      <c r="D118" s="5"/>
      <c r="E118" s="78"/>
      <c r="F118" s="6"/>
      <c r="G118" s="69"/>
    </row>
    <row r="119" spans="2:7" s="5" customFormat="1" ht="15" customHeight="1" outlineLevel="2">
      <c r="B119" s="65" t="s">
        <v>120</v>
      </c>
      <c r="C119" s="81"/>
      <c r="D119" s="5" t="s">
        <v>163</v>
      </c>
      <c r="E119" s="70">
        <v>314878</v>
      </c>
      <c r="F119" s="8"/>
      <c r="G119" s="70"/>
    </row>
    <row r="120" spans="2:7" s="5" customFormat="1" ht="15" customHeight="1" outlineLevel="2">
      <c r="B120" s="65" t="s">
        <v>120</v>
      </c>
      <c r="C120" s="81"/>
      <c r="D120" s="5" t="s">
        <v>164</v>
      </c>
      <c r="E120" s="70">
        <v>115149</v>
      </c>
      <c r="F120" s="8"/>
      <c r="G120" s="70"/>
    </row>
    <row r="121" spans="2:7" s="5" customFormat="1" ht="15" customHeight="1" outlineLevel="2">
      <c r="B121" s="65" t="s">
        <v>148</v>
      </c>
      <c r="C121" s="81"/>
      <c r="D121" s="5" t="s">
        <v>149</v>
      </c>
      <c r="E121" s="70">
        <v>185999</v>
      </c>
      <c r="F121" s="8"/>
      <c r="G121" s="70"/>
    </row>
    <row r="122" spans="2:7" s="5" customFormat="1" ht="15" customHeight="1" outlineLevel="2">
      <c r="B122" s="65" t="s">
        <v>121</v>
      </c>
      <c r="C122" s="81"/>
      <c r="D122" s="5" t="s">
        <v>122</v>
      </c>
      <c r="E122" s="78">
        <v>210010</v>
      </c>
      <c r="F122" s="8"/>
      <c r="G122" s="69">
        <f>SUM(E119:E122)</f>
        <v>826036</v>
      </c>
    </row>
    <row r="123" spans="1:7" ht="15" customHeight="1" outlineLevel="2">
      <c r="A123" s="5"/>
      <c r="B123" s="65"/>
      <c r="C123" s="81"/>
      <c r="D123" s="62"/>
      <c r="E123" s="78"/>
      <c r="F123" s="6"/>
      <c r="G123" s="69"/>
    </row>
    <row r="124" spans="1:7" ht="15" customHeight="1" outlineLevel="2">
      <c r="A124" s="5"/>
      <c r="B124" s="86" t="s">
        <v>95</v>
      </c>
      <c r="C124" s="81"/>
      <c r="D124" s="62"/>
      <c r="E124" s="78"/>
      <c r="F124" s="6"/>
      <c r="G124" s="69"/>
    </row>
    <row r="125" spans="1:7" ht="15" customHeight="1" outlineLevel="2">
      <c r="A125" s="5"/>
      <c r="B125" s="65" t="s">
        <v>52</v>
      </c>
      <c r="C125" s="81"/>
      <c r="D125" s="5" t="s">
        <v>146</v>
      </c>
      <c r="E125" s="70">
        <v>25000</v>
      </c>
      <c r="F125" s="6"/>
      <c r="G125" s="69"/>
    </row>
    <row r="126" spans="1:7" ht="15" customHeight="1" outlineLevel="2">
      <c r="A126" s="5"/>
      <c r="B126" s="65" t="s">
        <v>62</v>
      </c>
      <c r="C126" s="81"/>
      <c r="D126" s="5" t="s">
        <v>146</v>
      </c>
      <c r="E126" s="70">
        <v>25000</v>
      </c>
      <c r="F126" s="6"/>
      <c r="G126" s="69"/>
    </row>
    <row r="127" spans="1:7" ht="15" customHeight="1" outlineLevel="2">
      <c r="A127" s="5"/>
      <c r="B127" s="65" t="s">
        <v>70</v>
      </c>
      <c r="C127" s="81"/>
      <c r="D127" s="5" t="s">
        <v>146</v>
      </c>
      <c r="E127" s="70">
        <v>25000</v>
      </c>
      <c r="F127" s="6"/>
      <c r="G127" s="69"/>
    </row>
    <row r="128" spans="1:7" ht="15" customHeight="1" outlineLevel="2">
      <c r="A128" s="5"/>
      <c r="B128" s="65" t="s">
        <v>90</v>
      </c>
      <c r="C128" s="81"/>
      <c r="D128" s="5" t="s">
        <v>146</v>
      </c>
      <c r="E128" s="70">
        <v>25000</v>
      </c>
      <c r="F128" s="6"/>
      <c r="G128" s="69"/>
    </row>
    <row r="129" spans="1:7" ht="15" customHeight="1" outlineLevel="2">
      <c r="A129" s="5"/>
      <c r="B129" s="65" t="s">
        <v>173</v>
      </c>
      <c r="C129" s="81"/>
      <c r="D129" s="5" t="s">
        <v>174</v>
      </c>
      <c r="E129" s="78">
        <v>100644</v>
      </c>
      <c r="F129" s="6"/>
      <c r="G129" s="69">
        <f>SUM(E125:E129)</f>
        <v>200644</v>
      </c>
    </row>
    <row r="130" spans="1:7" ht="15" customHeight="1" outlineLevel="2">
      <c r="A130" s="5"/>
      <c r="B130" s="65"/>
      <c r="C130" s="81"/>
      <c r="D130" s="62"/>
      <c r="E130" s="78"/>
      <c r="F130" s="6"/>
      <c r="G130" s="69"/>
    </row>
    <row r="131" spans="1:7" ht="15" customHeight="1" outlineLevel="2">
      <c r="A131" s="5"/>
      <c r="B131" s="86" t="s">
        <v>96</v>
      </c>
      <c r="C131" s="81"/>
      <c r="D131" s="11"/>
      <c r="E131" s="70"/>
      <c r="F131" s="6"/>
      <c r="G131" s="69"/>
    </row>
    <row r="132" spans="1:7" ht="15" customHeight="1" outlineLevel="2">
      <c r="A132" s="5"/>
      <c r="B132" s="90" t="s">
        <v>62</v>
      </c>
      <c r="C132" s="81"/>
      <c r="D132" s="5" t="s">
        <v>177</v>
      </c>
      <c r="E132" s="70">
        <v>657597</v>
      </c>
      <c r="F132" s="6"/>
      <c r="G132" s="69"/>
    </row>
    <row r="133" spans="1:7" ht="15" customHeight="1" outlineLevel="2">
      <c r="A133" s="5"/>
      <c r="B133" s="65" t="s">
        <v>67</v>
      </c>
      <c r="C133" s="81"/>
      <c r="D133" s="5" t="s">
        <v>177</v>
      </c>
      <c r="E133" s="70">
        <v>286046</v>
      </c>
      <c r="F133" s="6"/>
      <c r="G133" s="69"/>
    </row>
    <row r="134" spans="1:7" ht="15" customHeight="1" outlineLevel="2">
      <c r="A134" s="5"/>
      <c r="B134" s="65" t="s">
        <v>52</v>
      </c>
      <c r="C134" s="81"/>
      <c r="D134" s="5" t="s">
        <v>177</v>
      </c>
      <c r="E134" s="70">
        <v>905084</v>
      </c>
      <c r="F134" s="6"/>
      <c r="G134" s="69"/>
    </row>
    <row r="135" spans="1:7" ht="15" customHeight="1" outlineLevel="2">
      <c r="A135" s="5"/>
      <c r="B135" s="65" t="s">
        <v>75</v>
      </c>
      <c r="C135" s="81"/>
      <c r="D135" s="5" t="s">
        <v>177</v>
      </c>
      <c r="E135" s="70">
        <v>716832</v>
      </c>
      <c r="F135" s="6"/>
      <c r="G135" s="69"/>
    </row>
    <row r="136" spans="1:7" ht="15" customHeight="1" outlineLevel="2">
      <c r="A136" s="5"/>
      <c r="B136" s="65" t="s">
        <v>68</v>
      </c>
      <c r="C136" s="81"/>
      <c r="D136" s="5" t="s">
        <v>177</v>
      </c>
      <c r="E136" s="70">
        <v>979514</v>
      </c>
      <c r="F136" s="6"/>
      <c r="G136" s="69"/>
    </row>
    <row r="137" spans="1:7" ht="15" customHeight="1" outlineLevel="2">
      <c r="A137" s="5"/>
      <c r="B137" s="65" t="s">
        <v>53</v>
      </c>
      <c r="C137" s="81"/>
      <c r="D137" s="5" t="s">
        <v>177</v>
      </c>
      <c r="E137" s="70">
        <v>801006</v>
      </c>
      <c r="F137" s="6"/>
      <c r="G137" s="69"/>
    </row>
    <row r="138" spans="1:7" ht="15" customHeight="1" outlineLevel="2">
      <c r="A138" s="5"/>
      <c r="B138" s="65" t="s">
        <v>91</v>
      </c>
      <c r="C138" s="81"/>
      <c r="D138" s="5" t="s">
        <v>177</v>
      </c>
      <c r="E138" s="70">
        <v>399638</v>
      </c>
      <c r="F138" s="6"/>
      <c r="G138" s="69"/>
    </row>
    <row r="139" spans="1:7" ht="14.25" customHeight="1" outlineLevel="2">
      <c r="A139" s="5"/>
      <c r="B139" s="65" t="s">
        <v>70</v>
      </c>
      <c r="C139" s="81"/>
      <c r="D139" s="5" t="s">
        <v>177</v>
      </c>
      <c r="E139" s="70">
        <v>818748</v>
      </c>
      <c r="F139" s="6"/>
      <c r="G139" s="69"/>
    </row>
    <row r="140" spans="1:7" ht="14.25" customHeight="1" outlineLevel="2">
      <c r="A140" s="5"/>
      <c r="B140" s="65" t="s">
        <v>69</v>
      </c>
      <c r="C140" s="81"/>
      <c r="D140" s="5" t="s">
        <v>177</v>
      </c>
      <c r="E140" s="70">
        <v>562566</v>
      </c>
      <c r="F140" s="6"/>
      <c r="G140" s="69"/>
    </row>
    <row r="141" spans="1:7" ht="14.25" customHeight="1" outlineLevel="2">
      <c r="A141" s="5"/>
      <c r="B141" s="65" t="s">
        <v>64</v>
      </c>
      <c r="C141" s="81"/>
      <c r="D141" s="5" t="s">
        <v>177</v>
      </c>
      <c r="E141" s="78">
        <v>864963</v>
      </c>
      <c r="F141" s="6"/>
      <c r="G141" s="69">
        <f>SUM(E132:E141)</f>
        <v>6991994</v>
      </c>
    </row>
    <row r="142" spans="1:7" ht="15" customHeight="1" outlineLevel="2" thickBot="1">
      <c r="A142" s="5"/>
      <c r="B142" s="95"/>
      <c r="C142" s="81"/>
      <c r="D142" s="95"/>
      <c r="E142" s="96"/>
      <c r="F142" s="97"/>
      <c r="G142" s="97"/>
    </row>
    <row r="143" spans="5:7" s="5" customFormat="1" ht="15" customHeight="1" outlineLevel="2" thickTop="1">
      <c r="E143" s="8"/>
      <c r="F143" s="6"/>
      <c r="G143" s="6"/>
    </row>
    <row r="144" spans="1:7" ht="15" customHeight="1" outlineLevel="2">
      <c r="A144" s="5"/>
      <c r="B144" s="86" t="s">
        <v>12</v>
      </c>
      <c r="C144" s="81"/>
      <c r="D144" s="5"/>
      <c r="E144" s="70"/>
      <c r="F144" s="6"/>
      <c r="G144" s="69"/>
    </row>
    <row r="145" spans="1:7" ht="15" customHeight="1" outlineLevel="2">
      <c r="A145" s="5"/>
      <c r="B145" s="65" t="s">
        <v>13</v>
      </c>
      <c r="C145" s="81"/>
      <c r="D145" s="62" t="s">
        <v>135</v>
      </c>
      <c r="E145" s="70">
        <v>251297</v>
      </c>
      <c r="F145" s="6"/>
      <c r="G145" s="69"/>
    </row>
    <row r="146" spans="1:7" ht="15" customHeight="1" outlineLevel="2">
      <c r="A146" s="5"/>
      <c r="B146" s="65" t="s">
        <v>66</v>
      </c>
      <c r="C146" s="82"/>
      <c r="D146" s="62" t="s">
        <v>135</v>
      </c>
      <c r="E146" s="70">
        <v>61304</v>
      </c>
      <c r="F146" s="6"/>
      <c r="G146" s="69"/>
    </row>
    <row r="147" spans="1:7" ht="15" customHeight="1" outlineLevel="2">
      <c r="A147" s="5"/>
      <c r="B147" s="65" t="s">
        <v>97</v>
      </c>
      <c r="C147" s="82"/>
      <c r="D147" s="62" t="s">
        <v>135</v>
      </c>
      <c r="E147" s="70">
        <v>233015</v>
      </c>
      <c r="F147" s="6"/>
      <c r="G147" s="69"/>
    </row>
    <row r="148" spans="1:7" ht="15" customHeight="1" outlineLevel="2">
      <c r="A148" s="5"/>
      <c r="B148" s="65" t="s">
        <v>94</v>
      </c>
      <c r="C148" s="82"/>
      <c r="D148" s="62" t="s">
        <v>135</v>
      </c>
      <c r="E148" s="70">
        <v>285243</v>
      </c>
      <c r="F148" s="6"/>
      <c r="G148" s="69"/>
    </row>
    <row r="149" spans="1:7" ht="15" customHeight="1" outlineLevel="2">
      <c r="A149" s="5"/>
      <c r="B149" s="65" t="s">
        <v>74</v>
      </c>
      <c r="C149" s="81"/>
      <c r="D149" s="62" t="s">
        <v>135</v>
      </c>
      <c r="E149" s="70">
        <v>166164</v>
      </c>
      <c r="F149" s="6"/>
      <c r="G149" s="69"/>
    </row>
    <row r="150" spans="1:7" ht="15" customHeight="1" outlineLevel="2">
      <c r="A150" s="5"/>
      <c r="B150" s="65" t="s">
        <v>48</v>
      </c>
      <c r="C150" s="81"/>
      <c r="D150" s="62" t="s">
        <v>135</v>
      </c>
      <c r="E150" s="70">
        <v>15578</v>
      </c>
      <c r="F150" s="6"/>
      <c r="G150" s="69"/>
    </row>
    <row r="151" spans="1:8" ht="15" customHeight="1" outlineLevel="2">
      <c r="A151" s="5"/>
      <c r="B151" s="65" t="s">
        <v>77</v>
      </c>
      <c r="C151" s="81"/>
      <c r="D151" s="62" t="s">
        <v>135</v>
      </c>
      <c r="E151" s="70">
        <v>385991</v>
      </c>
      <c r="F151" s="6"/>
      <c r="G151" s="69"/>
      <c r="H151" s="3"/>
    </row>
    <row r="152" spans="1:7" ht="15" customHeight="1" outlineLevel="2">
      <c r="A152" s="5"/>
      <c r="B152" s="65" t="s">
        <v>78</v>
      </c>
      <c r="C152" s="81"/>
      <c r="D152" s="62" t="s">
        <v>135</v>
      </c>
      <c r="E152" s="70">
        <v>104229</v>
      </c>
      <c r="F152" s="6"/>
      <c r="G152" s="69"/>
    </row>
    <row r="153" spans="1:7" ht="15" customHeight="1" outlineLevel="2">
      <c r="A153" s="5"/>
      <c r="B153" s="65" t="s">
        <v>26</v>
      </c>
      <c r="C153" s="81"/>
      <c r="D153" s="62" t="s">
        <v>135</v>
      </c>
      <c r="E153" s="70">
        <f>26274+90467+25421+12698+37999</f>
        <v>192859</v>
      </c>
      <c r="F153" s="6"/>
      <c r="G153" s="69"/>
    </row>
    <row r="154" spans="1:7" ht="15" customHeight="1" outlineLevel="2">
      <c r="A154" s="5"/>
      <c r="B154" s="65" t="s">
        <v>71</v>
      </c>
      <c r="C154" s="81"/>
      <c r="D154" s="62" t="s">
        <v>135</v>
      </c>
      <c r="E154" s="70">
        <v>113587</v>
      </c>
      <c r="F154" s="6"/>
      <c r="G154" s="69"/>
    </row>
    <row r="155" spans="1:7" ht="15" customHeight="1" outlineLevel="2">
      <c r="A155" s="5"/>
      <c r="B155" s="65" t="s">
        <v>65</v>
      </c>
      <c r="C155" s="81"/>
      <c r="D155" s="62" t="s">
        <v>135</v>
      </c>
      <c r="E155" s="70">
        <v>53712</v>
      </c>
      <c r="F155" s="6"/>
      <c r="G155" s="69"/>
    </row>
    <row r="156" spans="1:8" ht="15" customHeight="1" outlineLevel="2" thickBot="1">
      <c r="A156" s="5"/>
      <c r="B156" s="67" t="s">
        <v>21</v>
      </c>
      <c r="C156" s="83"/>
      <c r="D156" s="62" t="s">
        <v>135</v>
      </c>
      <c r="E156" s="79">
        <v>304445</v>
      </c>
      <c r="F156" s="68"/>
      <c r="G156" s="71">
        <f>SUM(E145:E156)</f>
        <v>2167424</v>
      </c>
      <c r="H156" s="3"/>
    </row>
    <row r="157" spans="2:9" ht="11.25" outlineLevel="1" thickBot="1">
      <c r="B157" s="34" t="s">
        <v>14</v>
      </c>
      <c r="C157" s="64"/>
      <c r="D157" s="56"/>
      <c r="E157" s="55"/>
      <c r="F157" s="35">
        <f>SUM(F8:F156)</f>
        <v>87040343</v>
      </c>
      <c r="G157" s="35">
        <f>SUM(G8:G156)</f>
        <v>54453664</v>
      </c>
      <c r="H157" s="3"/>
      <c r="I157" s="3"/>
    </row>
    <row r="158" spans="2:9" ht="11.25" outlineLevel="1" thickBot="1">
      <c r="B158" s="37" t="s">
        <v>15</v>
      </c>
      <c r="C158" s="56"/>
      <c r="D158" s="54"/>
      <c r="E158" s="36"/>
      <c r="F158" s="36">
        <f>G6</f>
        <v>125689034</v>
      </c>
      <c r="G158" s="36">
        <v>0</v>
      </c>
      <c r="H158" s="3"/>
      <c r="I158" s="3"/>
    </row>
    <row r="159" spans="2:8" ht="11.25" thickBot="1">
      <c r="B159" s="39" t="s">
        <v>16</v>
      </c>
      <c r="C159" s="56"/>
      <c r="D159" s="38"/>
      <c r="E159" s="36"/>
      <c r="F159" s="36">
        <f>SUM(F157:F158)</f>
        <v>212729377</v>
      </c>
      <c r="G159" s="36">
        <f>SUM(G157:G158)</f>
        <v>54453664</v>
      </c>
      <c r="H159" s="3"/>
    </row>
    <row r="160" spans="2:7" ht="10.5" thickBot="1">
      <c r="B160" s="7"/>
      <c r="C160" s="59"/>
      <c r="D160" s="7"/>
      <c r="E160" s="6"/>
      <c r="F160" s="6"/>
      <c r="G160" s="6"/>
    </row>
    <row r="161" spans="1:8" s="9" customFormat="1" ht="15" customHeight="1" thickBot="1">
      <c r="A161" s="11"/>
      <c r="B161" s="40" t="s">
        <v>199</v>
      </c>
      <c r="C161" s="41"/>
      <c r="D161" s="41"/>
      <c r="E161" s="42">
        <f>F159-G159</f>
        <v>158275713</v>
      </c>
      <c r="F161" s="13" t="s">
        <v>7</v>
      </c>
      <c r="G161"/>
      <c r="H161" s="4"/>
    </row>
    <row r="162" spans="2:7" s="5" customFormat="1" ht="35.25" customHeight="1">
      <c r="B162" s="7"/>
      <c r="D162" s="7"/>
      <c r="E162" s="6"/>
      <c r="F162" s="6"/>
      <c r="G162" s="6"/>
    </row>
    <row r="163" spans="2:7" s="5" customFormat="1" ht="11.25">
      <c r="B163" s="7"/>
      <c r="D163" s="7"/>
      <c r="E163" s="6"/>
      <c r="F163" s="13"/>
      <c r="G163" s="6"/>
    </row>
    <row r="164" spans="2:7" s="5" customFormat="1" ht="17.25">
      <c r="B164" s="5" t="s">
        <v>200</v>
      </c>
      <c r="D164" s="7"/>
      <c r="E164" s="6"/>
      <c r="F164" s="93" t="s">
        <v>108</v>
      </c>
      <c r="G164" s="6"/>
    </row>
    <row r="165" spans="4:7" s="5" customFormat="1" ht="15" customHeight="1">
      <c r="D165" s="12"/>
      <c r="E165" s="14"/>
      <c r="F165" s="13"/>
      <c r="G165" s="13"/>
    </row>
    <row r="166" spans="5:7" s="5" customFormat="1" ht="15" customHeight="1">
      <c r="E166" s="8"/>
      <c r="F166" s="6"/>
      <c r="G166" s="6"/>
    </row>
    <row r="167" spans="3:6" ht="10.5">
      <c r="C167" s="5"/>
      <c r="F167" s="3"/>
    </row>
    <row r="168" spans="3:5" ht="10.5">
      <c r="C168" s="5"/>
      <c r="E168" s="3"/>
    </row>
    <row r="169" ht="10.5">
      <c r="C169" s="5"/>
    </row>
    <row r="170" ht="10.5">
      <c r="C170" s="5"/>
    </row>
    <row r="171" ht="10.5">
      <c r="C171" s="5"/>
    </row>
    <row r="172" ht="10.5">
      <c r="C172" s="5"/>
    </row>
    <row r="173" ht="10.5">
      <c r="C173" s="5"/>
    </row>
    <row r="174" ht="10.5">
      <c r="C174" s="5"/>
    </row>
  </sheetData>
  <sheetProtection/>
  <autoFilter ref="E4:E175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tabSelected="1" zoomScalePageLayoutView="0" workbookViewId="0" topLeftCell="A10">
      <selection activeCell="H20" sqref="H20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54</v>
      </c>
      <c r="C6" s="50" t="s">
        <v>33</v>
      </c>
      <c r="D6" s="50"/>
      <c r="E6" s="47" t="s">
        <v>50</v>
      </c>
    </row>
    <row r="7" spans="2:5" s="5" customFormat="1" ht="15" customHeight="1">
      <c r="B7" s="24" t="s">
        <v>34</v>
      </c>
      <c r="C7" s="32">
        <f>84</f>
        <v>84</v>
      </c>
      <c r="D7" s="70">
        <f>462000</f>
        <v>462000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f>1+1+112</f>
        <v>114</v>
      </c>
      <c r="D8" s="70">
        <f>2200+2200+616000</f>
        <v>620400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f>257</f>
        <v>257</v>
      </c>
      <c r="D9" s="70">
        <f>1413500</f>
        <v>1413500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f>160+1</f>
        <v>161</v>
      </c>
      <c r="D10" s="70">
        <f>880000+2100</f>
        <v>882100</v>
      </c>
      <c r="E10" s="43">
        <v>0</v>
      </c>
    </row>
    <row r="11" spans="2:5" s="5" customFormat="1" ht="15" customHeight="1">
      <c r="B11" s="24" t="s">
        <v>27</v>
      </c>
      <c r="C11" s="32">
        <f>175</f>
        <v>175</v>
      </c>
      <c r="D11" s="70">
        <f>962500</f>
        <v>962500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f>475+1+1</f>
        <v>477</v>
      </c>
      <c r="D12" s="70">
        <f>2612500+2200+5300</f>
        <v>2620000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1+1+1+1+594</f>
        <v>598</v>
      </c>
      <c r="D13" s="70">
        <f>2120+13200+2200+2200+3267000</f>
        <v>3286720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v>83</v>
      </c>
      <c r="D14" s="70">
        <f>456500</f>
        <v>456500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v>166</v>
      </c>
      <c r="D15" s="70">
        <f>913000</f>
        <v>913000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1+1+411+1</f>
        <v>414</v>
      </c>
      <c r="D16" s="70">
        <f>2200+2120+2260500+2200</f>
        <v>2267020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f>1+1+156</f>
        <v>158</v>
      </c>
      <c r="D17" s="70">
        <f>2200+1364031+2200</f>
        <v>1368431</v>
      </c>
      <c r="E17" s="43">
        <v>774000</v>
      </c>
    </row>
    <row r="18" spans="2:5" s="5" customFormat="1" ht="15" customHeight="1">
      <c r="B18" s="24" t="s">
        <v>41</v>
      </c>
      <c r="C18" s="32">
        <v>331</v>
      </c>
      <c r="D18" s="70">
        <f>1820500</f>
        <v>1820500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f>101+1+1</f>
        <v>103</v>
      </c>
      <c r="D19" s="70">
        <f>555500+6600</f>
        <v>562100</v>
      </c>
      <c r="E19" s="43">
        <v>442900</v>
      </c>
    </row>
    <row r="20" spans="2:5" s="5" customFormat="1" ht="15" customHeight="1">
      <c r="B20" s="24" t="s">
        <v>42</v>
      </c>
      <c r="C20" s="32">
        <f>1+444</f>
        <v>445</v>
      </c>
      <c r="D20" s="70">
        <f>2100+2436500</f>
        <v>2438600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v>288</v>
      </c>
      <c r="D21" s="70">
        <f>1584000</f>
        <v>1584000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227</f>
        <v>227</v>
      </c>
      <c r="D22" s="70">
        <f>1248500</f>
        <v>1248500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v>205</v>
      </c>
      <c r="D23" s="70">
        <v>1127500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v>131</v>
      </c>
      <c r="D24" s="70">
        <v>720500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f>117+1</f>
        <v>118</v>
      </c>
      <c r="D25" s="78">
        <f>643500+2750</f>
        <v>646250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4535</v>
      </c>
      <c r="D26" s="51">
        <f>SUM(D7:D25)</f>
        <v>25400121</v>
      </c>
      <c r="E26" s="48"/>
    </row>
    <row r="27" spans="2:5" ht="15.75" customHeight="1" hidden="1" thickBot="1">
      <c r="B27" s="45" t="s">
        <v>51</v>
      </c>
      <c r="C27" s="46"/>
      <c r="D27" s="49"/>
      <c r="E27" s="19" t="e">
        <f>SUM(#REF!)</f>
        <v>#REF!</v>
      </c>
    </row>
    <row r="36" ht="12">
      <c r="F36" s="5"/>
    </row>
    <row r="37" ht="12">
      <c r="F37" s="5"/>
    </row>
    <row r="38" ht="12">
      <c r="F38" s="5"/>
    </row>
    <row r="39" ht="12">
      <c r="F39" s="5"/>
    </row>
    <row r="40" ht="12">
      <c r="F40" s="5"/>
    </row>
    <row r="41" ht="12">
      <c r="F41" s="5"/>
    </row>
    <row r="42" ht="12">
      <c r="F42" s="5"/>
    </row>
    <row r="43" ht="12">
      <c r="F43" s="5"/>
    </row>
    <row r="44" ht="12">
      <c r="F44" s="5"/>
    </row>
    <row r="45" ht="12">
      <c r="F45" s="5"/>
    </row>
    <row r="46" ht="12">
      <c r="F46" s="5"/>
    </row>
    <row r="47" ht="12">
      <c r="F47" s="5"/>
    </row>
    <row r="48" ht="12">
      <c r="F48" s="5"/>
    </row>
    <row r="49" ht="12">
      <c r="F49" s="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">
      <c r="B3" s="16"/>
      <c r="C3" s="16"/>
    </row>
    <row r="4" spans="2:3" ht="13.5">
      <c r="B4" s="16"/>
      <c r="C4" s="53" t="s">
        <v>63</v>
      </c>
    </row>
    <row r="5" ht="12.75" thickBot="1"/>
    <row r="6" spans="2:5" s="17" customFormat="1" ht="28.5" customHeight="1" thickBot="1">
      <c r="B6" s="100" t="s">
        <v>55</v>
      </c>
      <c r="C6" s="105" t="s">
        <v>56</v>
      </c>
      <c r="D6" s="52" t="s">
        <v>57</v>
      </c>
      <c r="E6" s="110" t="s">
        <v>88</v>
      </c>
    </row>
    <row r="7" spans="2:5" s="5" customFormat="1" ht="15" customHeight="1" thickTop="1">
      <c r="B7" s="102">
        <v>43864</v>
      </c>
      <c r="C7" s="107" t="s">
        <v>131</v>
      </c>
      <c r="D7">
        <v>19000</v>
      </c>
      <c r="E7" s="107">
        <v>196</v>
      </c>
    </row>
    <row r="8" spans="2:5" s="5" customFormat="1" ht="15" customHeight="1">
      <c r="B8" s="103">
        <v>43871</v>
      </c>
      <c r="C8" s="108" t="s">
        <v>201</v>
      </c>
      <c r="D8">
        <v>17800</v>
      </c>
      <c r="E8" s="108">
        <v>192</v>
      </c>
    </row>
    <row r="9" spans="2:5" s="5" customFormat="1" ht="15" customHeight="1">
      <c r="B9" s="103">
        <v>43871</v>
      </c>
      <c r="C9" s="108" t="s">
        <v>129</v>
      </c>
      <c r="D9">
        <v>20000</v>
      </c>
      <c r="E9" s="108">
        <v>197</v>
      </c>
    </row>
    <row r="10" spans="2:5" s="5" customFormat="1" ht="15" customHeight="1">
      <c r="B10" s="103">
        <v>43873</v>
      </c>
      <c r="C10" s="108" t="s">
        <v>131</v>
      </c>
      <c r="D10">
        <v>17800</v>
      </c>
      <c r="E10" s="108">
        <v>198</v>
      </c>
    </row>
    <row r="11" spans="2:5" s="5" customFormat="1" ht="15" customHeight="1">
      <c r="B11" s="103">
        <v>43874</v>
      </c>
      <c r="C11" s="108" t="s">
        <v>131</v>
      </c>
      <c r="D11">
        <v>15800</v>
      </c>
      <c r="E11" s="108">
        <v>201</v>
      </c>
    </row>
    <row r="12" spans="2:5" s="5" customFormat="1" ht="15" customHeight="1">
      <c r="B12" s="103">
        <v>43874</v>
      </c>
      <c r="C12" s="108" t="s">
        <v>201</v>
      </c>
      <c r="D12">
        <v>15800</v>
      </c>
      <c r="E12" s="108">
        <v>202</v>
      </c>
    </row>
    <row r="13" spans="2:5" s="5" customFormat="1" ht="15" customHeight="1">
      <c r="B13" s="103">
        <v>43875</v>
      </c>
      <c r="C13" s="108" t="s">
        <v>129</v>
      </c>
      <c r="D13">
        <v>20000</v>
      </c>
      <c r="E13" s="108">
        <v>203</v>
      </c>
    </row>
    <row r="14" spans="2:5" s="5" customFormat="1" ht="15" customHeight="1">
      <c r="B14" s="103">
        <v>43889</v>
      </c>
      <c r="C14" s="108" t="s">
        <v>202</v>
      </c>
      <c r="D14">
        <v>10000</v>
      </c>
      <c r="E14" s="108">
        <v>204</v>
      </c>
    </row>
    <row r="15" spans="2:5" s="5" customFormat="1" ht="15" customHeight="1">
      <c r="B15" s="103">
        <v>43889</v>
      </c>
      <c r="C15" s="108" t="s">
        <v>202</v>
      </c>
      <c r="D15">
        <v>10000</v>
      </c>
      <c r="E15" s="108">
        <v>205</v>
      </c>
    </row>
    <row r="16" spans="2:5" s="5" customFormat="1" ht="15" customHeight="1">
      <c r="B16" s="103">
        <v>43892</v>
      </c>
      <c r="C16" s="108" t="s">
        <v>131</v>
      </c>
      <c r="D16">
        <v>17800</v>
      </c>
      <c r="E16" s="108">
        <v>206</v>
      </c>
    </row>
    <row r="17" spans="2:5" s="5" customFormat="1" ht="15" customHeight="1">
      <c r="B17" s="103">
        <v>43893</v>
      </c>
      <c r="C17" s="108" t="s">
        <v>131</v>
      </c>
      <c r="D17">
        <v>20000</v>
      </c>
      <c r="E17" s="108">
        <v>207</v>
      </c>
    </row>
    <row r="18" spans="2:5" s="5" customFormat="1" ht="15" customHeight="1">
      <c r="B18" s="103">
        <v>43895</v>
      </c>
      <c r="C18" s="108" t="s">
        <v>201</v>
      </c>
      <c r="D18">
        <v>17800</v>
      </c>
      <c r="E18" s="108">
        <v>208</v>
      </c>
    </row>
    <row r="19" spans="2:5" s="5" customFormat="1" ht="15" customHeight="1">
      <c r="B19" s="103">
        <v>43896</v>
      </c>
      <c r="C19" s="108" t="s">
        <v>129</v>
      </c>
      <c r="D19">
        <v>17800</v>
      </c>
      <c r="E19" s="108">
        <v>210</v>
      </c>
    </row>
    <row r="20" spans="2:5" s="5" customFormat="1" ht="15" customHeight="1">
      <c r="B20" s="103">
        <v>43896</v>
      </c>
      <c r="C20" s="108" t="s">
        <v>129</v>
      </c>
      <c r="D20">
        <v>20000</v>
      </c>
      <c r="E20" s="108">
        <v>211</v>
      </c>
    </row>
    <row r="21" spans="2:5" s="5" customFormat="1" ht="15" customHeight="1">
      <c r="B21" s="103">
        <v>43896</v>
      </c>
      <c r="C21" s="108" t="s">
        <v>201</v>
      </c>
      <c r="D21">
        <v>15800</v>
      </c>
      <c r="E21" s="108">
        <v>212</v>
      </c>
    </row>
    <row r="22" spans="2:5" s="5" customFormat="1" ht="15" customHeight="1">
      <c r="B22" s="103">
        <v>43986</v>
      </c>
      <c r="C22" s="108" t="s">
        <v>203</v>
      </c>
      <c r="D22">
        <v>20580</v>
      </c>
      <c r="E22" s="108">
        <v>213</v>
      </c>
    </row>
    <row r="23" spans="2:5" s="5" customFormat="1" ht="15" customHeight="1">
      <c r="B23" s="103">
        <v>43987</v>
      </c>
      <c r="C23" s="108" t="s">
        <v>204</v>
      </c>
      <c r="D23">
        <v>21490</v>
      </c>
      <c r="E23" s="108">
        <v>214</v>
      </c>
    </row>
    <row r="24" spans="2:5" s="5" customFormat="1" ht="15" customHeight="1">
      <c r="B24" s="103">
        <v>44035</v>
      </c>
      <c r="C24" s="108" t="s">
        <v>205</v>
      </c>
      <c r="D24">
        <f>18700+2740</f>
        <v>21440</v>
      </c>
      <c r="E24" s="108">
        <v>215</v>
      </c>
    </row>
    <row r="25" spans="2:5" s="5" customFormat="1" ht="15" customHeight="1" thickBot="1">
      <c r="B25" s="104">
        <v>44035</v>
      </c>
      <c r="C25" s="109" t="s">
        <v>206</v>
      </c>
      <c r="D25">
        <f>33450+4310</f>
        <v>37760</v>
      </c>
      <c r="E25" s="109">
        <v>224</v>
      </c>
    </row>
    <row r="26" spans="2:9" s="5" customFormat="1" ht="15" customHeight="1" thickBot="1" thickTop="1">
      <c r="B26" s="101"/>
      <c r="C26" s="106"/>
      <c r="D26" s="60">
        <f>SUM(D7:D25)</f>
        <v>356670</v>
      </c>
      <c r="E26" s="106"/>
      <c r="I26" s="5" t="s">
        <v>85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artealfadeco</cp:lastModifiedBy>
  <cp:lastPrinted>2020-08-10T11:53:51Z</cp:lastPrinted>
  <dcterms:created xsi:type="dcterms:W3CDTF">2000-09-21T06:07:13Z</dcterms:created>
  <dcterms:modified xsi:type="dcterms:W3CDTF">2020-12-11T21:33:42Z</dcterms:modified>
  <cp:category/>
  <cp:version/>
  <cp:contentType/>
  <cp:contentStatus/>
</cp:coreProperties>
</file>