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_FilterDatabase" localSheetId="1" hidden="1">'informe'!$E$4:$E$160</definedName>
    <definedName name="_xlnm.Print_Titles" localSheetId="1">'informe'!$7:$7</definedName>
    <definedName name="_xlnm.Print_Titles" localSheetId="3">'RADIO TAXI'!$1:$6</definedName>
  </definedNames>
  <calcPr fullCalcOnLoad="1"/>
</workbook>
</file>

<file path=xl/comments2.xml><?xml version="1.0" encoding="utf-8"?>
<comments xmlns="http://schemas.openxmlformats.org/spreadsheetml/2006/main">
  <authors>
    <author>Cristian</author>
  </authors>
  <commentList>
    <comment ref="E14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E21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comments3.xml><?xml version="1.0" encoding="utf-8"?>
<comments xmlns="http://schemas.openxmlformats.org/spreadsheetml/2006/main">
  <authors>
    <author>Cristian</author>
  </authors>
  <commentList>
    <comment ref="D10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3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  <comment ref="D17" authorId="0">
      <text>
        <r>
          <rPr>
            <b/>
            <sz val="9"/>
            <rFont val="Tahoma"/>
            <family val="2"/>
          </rPr>
          <t>Cristian:</t>
        </r>
        <r>
          <rPr>
            <sz val="9"/>
            <rFont val="Tahoma"/>
            <family val="2"/>
          </rPr>
          <t xml:space="preserve">
X</t>
        </r>
      </text>
    </comment>
  </commentList>
</comments>
</file>

<file path=xl/sharedStrings.xml><?xml version="1.0" encoding="utf-8"?>
<sst xmlns="http://schemas.openxmlformats.org/spreadsheetml/2006/main" count="251" uniqueCount="181">
  <si>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</si>
  <si>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</si>
  <si>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</si>
  <si>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</si>
  <si>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</si>
  <si>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</si>
  <si>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</si>
  <si>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</si>
  <si>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</si>
  <si>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</si>
  <si>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</si>
  <si>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</si>
  <si>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</si>
  <si>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</si>
  <si>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</si>
  <si>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</si>
  <si>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</si>
  <si>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</si>
  <si>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TESORERIA GENERAL DE LA REPUBLICA</t>
  </si>
  <si>
    <t>DEPARTAMENTO GREMIAL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</si>
  <si>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</si>
  <si>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</si>
  <si>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</si>
  <si>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</si>
  <si>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</si>
  <si>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</si>
  <si>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</si>
  <si>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</si>
  <si>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</si>
  <si>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</si>
  <si>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</si>
  <si>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</si>
  <si>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</si>
  <si>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</si>
  <si>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</si>
  <si>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</si>
  <si>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</si>
  <si>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</si>
  <si>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</si>
  <si>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</si>
  <si>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</si>
  <si>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</si>
  <si>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</si>
  <si>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</si>
  <si>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</si>
  <si>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</si>
  <si>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</si>
  <si>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</si>
  <si>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</si>
  <si>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AYUDA REGIONAL</t>
  </si>
  <si>
    <t>TOTAL AYUDAS SOLIDARIAS</t>
  </si>
  <si>
    <t>PEDRO CACERES</t>
  </si>
  <si>
    <t>YEHIMY LLAMOCA</t>
  </si>
  <si>
    <t>ASOCIACION REGIONAL</t>
  </si>
  <si>
    <t xml:space="preserve">FECHA </t>
  </si>
  <si>
    <t>NOMBRE</t>
  </si>
  <si>
    <t>MONTO</t>
  </si>
  <si>
    <t>HONORARIOS</t>
  </si>
  <si>
    <t>SAESA S.A.</t>
  </si>
  <si>
    <t>VICTOR FUENTES</t>
  </si>
  <si>
    <t xml:space="preserve">DETALLE RADIO TAXI </t>
  </si>
  <si>
    <t>MARIA VALERIA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</si>
  <si>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</si>
  <si>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</si>
  <si>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</si>
  <si>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</si>
  <si>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</si>
  <si>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</si>
  <si>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AFP CUPRUM</t>
  </si>
  <si>
    <t>MARIA CRISTINA CABRERA MUÑOZ</t>
  </si>
  <si>
    <t>ENEL</t>
  </si>
  <si>
    <t>IPS</t>
  </si>
  <si>
    <t>WALESKA AGUILAR</t>
  </si>
  <si>
    <t>CASONA HOGAR</t>
  </si>
  <si>
    <t>AFP HABITAT</t>
  </si>
  <si>
    <t>AFP MODELO</t>
  </si>
  <si>
    <t>Consumo Luz</t>
  </si>
  <si>
    <t>Telefonía Tesoreria</t>
  </si>
  <si>
    <t>Consumo Luz Loncura</t>
  </si>
  <si>
    <t>Estadía</t>
  </si>
  <si>
    <t xml:space="preserve"> ,</t>
  </si>
  <si>
    <t xml:space="preserve">ALVARO PARDOW </t>
  </si>
  <si>
    <t>N° VALE</t>
  </si>
  <si>
    <t>CYNTHIA PAIRO</t>
  </si>
  <si>
    <t>ANA CANEO</t>
  </si>
  <si>
    <t>AGUAS ANDINAS</t>
  </si>
  <si>
    <t>Consumo Agua</t>
  </si>
  <si>
    <t>ISAPRE CRUZ BLANCA</t>
  </si>
  <si>
    <t>ISAPRE CONSALUD</t>
  </si>
  <si>
    <t>REGIONAL SANTIAGO</t>
  </si>
  <si>
    <t>Deposito para pago de creditos socios</t>
  </si>
  <si>
    <t>REGIONAL IQUIQUE</t>
  </si>
  <si>
    <t xml:space="preserve">           Tesorería Nacional</t>
  </si>
  <si>
    <t>REGIONAL MALLECO CAUTIN</t>
  </si>
  <si>
    <t>MOVISTAR</t>
  </si>
  <si>
    <t>Internet y cable Loncura</t>
  </si>
  <si>
    <t>JULIO HORMAZABAL</t>
  </si>
  <si>
    <t>DIRECTV</t>
  </si>
  <si>
    <t>Cable</t>
  </si>
  <si>
    <t>SERVIPAG</t>
  </si>
  <si>
    <t>RICARDO ALVAREZ</t>
  </si>
  <si>
    <t>REGIONAL VALDIVIA</t>
  </si>
  <si>
    <t>Impto. Regional mas honorarios</t>
  </si>
  <si>
    <t>CARLOS CACERES</t>
  </si>
  <si>
    <t xml:space="preserve">Consumo Agua </t>
  </si>
  <si>
    <t>Pago celular institucional</t>
  </si>
  <si>
    <t>Estadia Alojamiento</t>
  </si>
  <si>
    <t>Pago cuenta  celular Sra. Gema</t>
  </si>
  <si>
    <t>NAZARETH QUEVEDO</t>
  </si>
  <si>
    <t xml:space="preserve">Servicio mensual </t>
  </si>
  <si>
    <t xml:space="preserve">SUELDOS </t>
  </si>
  <si>
    <t>CARLOS VERDUGO</t>
  </si>
  <si>
    <t>CRISTINA SILVA MOLINA</t>
  </si>
  <si>
    <t>GUILLERMO AGUILAR RUZ</t>
  </si>
  <si>
    <t>Telefonía secretaría y hogar</t>
  </si>
  <si>
    <t>Consumo Luz  Mehuin</t>
  </si>
  <si>
    <t>SILVIA ROMERO</t>
  </si>
  <si>
    <t xml:space="preserve">JULIETA VEGA </t>
  </si>
  <si>
    <t>ISABEL MALDONADO</t>
  </si>
  <si>
    <t>MARIANELA HERRERA</t>
  </si>
  <si>
    <t>JUAN VILLAR</t>
  </si>
  <si>
    <t>KARIN MENDOZA</t>
  </si>
  <si>
    <t>ELIANA ORTIZ</t>
  </si>
  <si>
    <t>LEONOR DROGUETT</t>
  </si>
  <si>
    <t>AMADEO GNECCO</t>
  </si>
  <si>
    <t xml:space="preserve">Pago cuenta internet y Celular Yehimy Llamoca </t>
  </si>
  <si>
    <t>Deposito regional descuentos enero</t>
  </si>
  <si>
    <t>FEBRERO 2021</t>
  </si>
  <si>
    <t>REGIONAL CONCEPCION</t>
  </si>
  <si>
    <t>Diferencia pago honorarios evento</t>
  </si>
  <si>
    <t>Depósito descuento no efectuado febrero Valdivia</t>
  </si>
  <si>
    <t>CRISTHIAN GUIÑEZ</t>
  </si>
  <si>
    <t>Depósito cotizaciones enero</t>
  </si>
  <si>
    <t>NAYARET QUEVEDO</t>
  </si>
  <si>
    <t>Devolucion diferencia cuota ISP</t>
  </si>
  <si>
    <t>RENE GONZALEZ</t>
  </si>
  <si>
    <t>Uso alcantarillado Loncura</t>
  </si>
  <si>
    <t>LUIS RAMIREZ</t>
  </si>
  <si>
    <t>Deposito erroneo</t>
  </si>
  <si>
    <t>SILVIA MEDINA</t>
  </si>
  <si>
    <t>Devolución deposito socia Regional Iquique</t>
  </si>
  <si>
    <t>Reemplazo encargado enero</t>
  </si>
  <si>
    <t>Reembolso compra articulos escritorio</t>
  </si>
  <si>
    <t>Asesoria juridica enero</t>
  </si>
  <si>
    <t>BCI SEGUROS</t>
  </si>
  <si>
    <t>Seguro Coñaripe/Mehuin</t>
  </si>
  <si>
    <t>Pago  descuentos febrero Regional Valdivia</t>
  </si>
  <si>
    <t>REMIGIO CASTRO</t>
  </si>
  <si>
    <t>Pago correspondencia diciembre</t>
  </si>
  <si>
    <t>Asesoría Comunicacional enero</t>
  </si>
  <si>
    <t>EL MERCURIO</t>
  </si>
  <si>
    <t>ANEIICH</t>
  </si>
  <si>
    <t>Pago alojamiento hijo socia Sonia Quijones</t>
  </si>
  <si>
    <t>CLAUDIO CACERES</t>
  </si>
  <si>
    <t>Mantención y corte pasto coñaripe</t>
  </si>
  <si>
    <t>ISP</t>
  </si>
  <si>
    <t>Cuotas afiliación</t>
  </si>
  <si>
    <t>Pago cotizaciones enero</t>
  </si>
  <si>
    <t>Enero</t>
  </si>
  <si>
    <t>Retenciones e Impuesto único enero</t>
  </si>
  <si>
    <t>Pago devolución limpieza fosa Coñaripe</t>
  </si>
  <si>
    <t>FUNDACION CENTRO INTERDISCIPLINARIO KIMUN</t>
  </si>
  <si>
    <t>1era y 2da. convocatoria Convencion Nacional</t>
  </si>
  <si>
    <t>Aseo cabañas Coñaripe</t>
  </si>
  <si>
    <t>Febrero</t>
  </si>
  <si>
    <t>50% Reembolso internet teletrabajo febrero</t>
  </si>
  <si>
    <t>Pago descuentos  Regional Iquique Dic. Y Enero</t>
  </si>
  <si>
    <t>Servicios audiovisulaes Febrero</t>
  </si>
  <si>
    <t>Mantención jardin Loncura Febrero</t>
  </si>
  <si>
    <t>Devolución depósito erroneo</t>
  </si>
  <si>
    <t>Asesoria directorio febrero</t>
  </si>
  <si>
    <t>RODRIGO HERRERA</t>
  </si>
  <si>
    <t>Desratizacion y fumigación Coñaripe</t>
  </si>
  <si>
    <t>Aseo hogar febrero</t>
  </si>
  <si>
    <t>Mantención cabaña Mehuin febrero</t>
  </si>
  <si>
    <t>Enero y Febrero</t>
  </si>
  <si>
    <t>JUAN ROJAS</t>
  </si>
  <si>
    <t>Mantención notebook teletrabajo Maria Valeria</t>
  </si>
  <si>
    <t>SALDO EN CTA. CTE. AL 28/02/2021</t>
  </si>
  <si>
    <t>SANTIAGO, 08/03/2021</t>
  </si>
  <si>
    <t xml:space="preserve">Desratización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</si>
</sst>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>
        <color indexed="63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rgb="FF9933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rgb="FF993300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 style="medium">
        <color rgb="FF993300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>
        <color indexed="63"/>
      </bottom>
    </border>
    <border>
      <left>
        <color indexed="63"/>
      </left>
      <right style="medium">
        <color rgb="FF993300"/>
      </right>
      <top>
        <color indexed="63"/>
      </top>
      <bottom style="medium">
        <color rgb="FF993300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rgb="FF993300"/>
      </left>
      <right style="medium">
        <color rgb="FF993300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 style="thick">
        <color theme="5" tint="-0.4999699890613556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>
        <color indexed="63"/>
      </bottom>
    </border>
    <border>
      <left style="thick">
        <color theme="5" tint="-0.4999699890613556"/>
      </left>
      <right style="thick">
        <color theme="5" tint="-0.4999699890613556"/>
      </right>
      <top>
        <color indexed="63"/>
      </top>
      <bottom style="thick">
        <color theme="5" tint="-0.4999699890613556"/>
      </bottom>
    </border>
    <border>
      <left style="medium">
        <color rgb="FF993300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 style="medium">
        <color rgb="FF993300"/>
      </right>
      <top>
        <color indexed="63"/>
      </top>
      <bottom style="thin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1" xfId="0" applyNumberFormat="1" applyFont="1" applyFill="1" applyBorder="1" applyAlignment="1">
      <alignment/>
    </xf>
    <xf numFmtId="181" fontId="13" fillId="0" borderId="11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181" fontId="6" fillId="34" borderId="17" xfId="0" applyNumberFormat="1" applyFont="1" applyFill="1" applyBorder="1" applyAlignment="1">
      <alignment horizontal="right"/>
    </xf>
    <xf numFmtId="181" fontId="6" fillId="34" borderId="14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81" fontId="8" fillId="33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1" fontId="4" fillId="0" borderId="23" xfId="0" applyNumberFormat="1" applyFont="1" applyFill="1" applyBorder="1" applyAlignment="1">
      <alignment/>
    </xf>
    <xf numFmtId="0" fontId="8" fillId="32" borderId="24" xfId="0" applyFont="1" applyFill="1" applyBorder="1" applyAlignment="1">
      <alignment/>
    </xf>
    <xf numFmtId="0" fontId="7" fillId="32" borderId="25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6" xfId="0" applyNumberFormat="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81" fontId="3" fillId="33" borderId="14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181" fontId="6" fillId="34" borderId="27" xfId="0" applyNumberFormat="1" applyFont="1" applyFill="1" applyBorder="1" applyAlignment="1">
      <alignment horizontal="right"/>
    </xf>
    <xf numFmtId="0" fontId="6" fillId="34" borderId="2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187" fontId="8" fillId="33" borderId="2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3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1" fontId="3" fillId="0" borderId="36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1" fontId="3" fillId="0" borderId="37" xfId="0" applyNumberFormat="1" applyFont="1" applyFill="1" applyBorder="1" applyAlignment="1">
      <alignment horizontal="center"/>
    </xf>
    <xf numFmtId="181" fontId="3" fillId="0" borderId="33" xfId="0" applyNumberFormat="1" applyFont="1" applyFill="1" applyBorder="1" applyAlignment="1">
      <alignment horizontal="center"/>
    </xf>
    <xf numFmtId="181" fontId="4" fillId="0" borderId="33" xfId="0" applyNumberFormat="1" applyFont="1" applyFill="1" applyBorder="1" applyAlignment="1">
      <alignment/>
    </xf>
    <xf numFmtId="181" fontId="4" fillId="0" borderId="34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4" fillId="0" borderId="43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0" fontId="8" fillId="33" borderId="4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6" fontId="0" fillId="0" borderId="45" xfId="0" applyNumberFormat="1" applyBorder="1" applyAlignment="1">
      <alignment/>
    </xf>
    <xf numFmtId="16" fontId="0" fillId="0" borderId="46" xfId="0" applyNumberFormat="1" applyBorder="1" applyAlignment="1">
      <alignment/>
    </xf>
    <xf numFmtId="16" fontId="0" fillId="0" borderId="47" xfId="0" applyNumberForma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8" fillId="33" borderId="36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81" fontId="4" fillId="0" borderId="48" xfId="0" applyNumberFormat="1" applyFont="1" applyFill="1" applyBorder="1" applyAlignment="1">
      <alignment/>
    </xf>
    <xf numFmtId="181" fontId="3" fillId="0" borderId="50" xfId="0" applyNumberFormat="1" applyFont="1" applyFill="1" applyBorder="1" applyAlignment="1">
      <alignment/>
    </xf>
    <xf numFmtId="181" fontId="3" fillId="0" borderId="48" xfId="0" applyNumberFormat="1" applyFont="1" applyFill="1" applyBorder="1" applyAlignment="1">
      <alignment/>
    </xf>
    <xf numFmtId="181" fontId="2" fillId="0" borderId="48" xfId="0" applyNumberFormat="1" applyFont="1" applyFill="1" applyBorder="1" applyAlignment="1">
      <alignment/>
    </xf>
    <xf numFmtId="181" fontId="2" fillId="0" borderId="5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31" sqref="A3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59"/>
  <sheetViews>
    <sheetView tabSelected="1" zoomScalePageLayoutView="0" workbookViewId="0" topLeftCell="A1">
      <pane ySplit="7" topLeftCell="A42" activePane="bottomLeft" state="frozen"/>
      <selection pane="topLeft" activeCell="A1" sqref="A1"/>
      <selection pane="bottomLeft" activeCell="D86" sqref="D86"/>
    </sheetView>
  </sheetViews>
  <sheetFormatPr defaultColWidth="11.421875" defaultRowHeight="12.75" outlineLevelRow="2"/>
  <cols>
    <col min="1" max="1" width="2.140625" style="1" customWidth="1"/>
    <col min="2" max="2" width="42.5742187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25" t="s">
        <v>17</v>
      </c>
      <c r="C4" s="2"/>
      <c r="D4" s="2"/>
      <c r="E4" s="3"/>
      <c r="F4" s="4"/>
      <c r="G4" s="4"/>
    </row>
    <row r="5" spans="2:7" ht="14.25">
      <c r="B5" s="26" t="s">
        <v>127</v>
      </c>
      <c r="C5" s="10"/>
      <c r="D5" s="10"/>
      <c r="E5" s="3"/>
      <c r="F5" s="4"/>
      <c r="G5" s="4"/>
    </row>
    <row r="6" spans="4:7" ht="12.75" thickBot="1">
      <c r="D6" s="20"/>
      <c r="E6" s="27"/>
      <c r="F6" s="28" t="s">
        <v>28</v>
      </c>
      <c r="G6" s="27">
        <v>239599863</v>
      </c>
    </row>
    <row r="7" spans="2:7" ht="24" customHeight="1" thickBot="1">
      <c r="B7" s="75" t="s">
        <v>0</v>
      </c>
      <c r="C7" s="57" t="s">
        <v>33</v>
      </c>
      <c r="D7" s="31" t="s">
        <v>46</v>
      </c>
      <c r="E7" s="75"/>
      <c r="F7" s="31" t="s">
        <v>1</v>
      </c>
      <c r="G7" s="31" t="s">
        <v>2</v>
      </c>
    </row>
    <row r="8" spans="1:7" ht="12" outlineLevel="2">
      <c r="A8" s="5"/>
      <c r="B8" s="84" t="s">
        <v>3</v>
      </c>
      <c r="C8" s="58"/>
      <c r="D8" s="72"/>
      <c r="E8" s="76"/>
      <c r="F8" s="74"/>
      <c r="G8" s="21"/>
    </row>
    <row r="9" spans="1:7" ht="11.25" outlineLevel="2">
      <c r="A9" s="5"/>
      <c r="B9" s="85"/>
      <c r="C9" s="58"/>
      <c r="D9" s="72"/>
      <c r="E9" s="77"/>
      <c r="F9" s="29"/>
      <c r="G9" s="22"/>
    </row>
    <row r="10" spans="1:7" ht="15.75" customHeight="1" outlineLevel="2">
      <c r="A10" s="5"/>
      <c r="B10" s="86" t="s">
        <v>4</v>
      </c>
      <c r="C10" s="33"/>
      <c r="D10" s="11"/>
      <c r="E10" s="78"/>
      <c r="F10" s="30">
        <f>SUM(E11:E29)</f>
        <v>24266540</v>
      </c>
      <c r="G10" s="23"/>
    </row>
    <row r="11" spans="1:7" ht="15" customHeight="1" hidden="1" outlineLevel="2">
      <c r="A11" s="5"/>
      <c r="B11" s="65" t="s">
        <v>34</v>
      </c>
      <c r="C11" s="32">
        <f>84</f>
        <v>84</v>
      </c>
      <c r="D11" s="73"/>
      <c r="E11" s="70">
        <f>462000</f>
        <v>462000</v>
      </c>
      <c r="F11" s="6"/>
      <c r="G11" s="23"/>
    </row>
    <row r="12" spans="1:7" ht="15" customHeight="1" hidden="1" outlineLevel="2">
      <c r="A12" s="5"/>
      <c r="B12" s="65" t="s">
        <v>29</v>
      </c>
      <c r="C12" s="32">
        <f>107+1</f>
        <v>108</v>
      </c>
      <c r="D12" s="73"/>
      <c r="E12" s="70">
        <f>588500+2120</f>
        <v>590620</v>
      </c>
      <c r="F12" s="6"/>
      <c r="G12" s="23"/>
    </row>
    <row r="13" spans="1:7" ht="15" customHeight="1" hidden="1" outlineLevel="2">
      <c r="A13" s="5"/>
      <c r="B13" s="65" t="s">
        <v>32</v>
      </c>
      <c r="C13" s="32">
        <f>1+241</f>
        <v>242</v>
      </c>
      <c r="D13" s="73"/>
      <c r="E13" s="70">
        <f>4400+1325500</f>
        <v>1329900</v>
      </c>
      <c r="F13" s="6"/>
      <c r="G13" s="23"/>
    </row>
    <row r="14" spans="1:7" ht="15" customHeight="1" hidden="1" outlineLevel="2">
      <c r="A14" s="5"/>
      <c r="B14" s="65" t="s">
        <v>35</v>
      </c>
      <c r="C14" s="32">
        <f>164</f>
        <v>164</v>
      </c>
      <c r="D14" s="73"/>
      <c r="E14" s="70">
        <f>902000</f>
        <v>902000</v>
      </c>
      <c r="F14" s="6"/>
      <c r="G14" s="23"/>
    </row>
    <row r="15" spans="1:7" ht="15" customHeight="1" hidden="1" outlineLevel="2">
      <c r="A15" s="5"/>
      <c r="B15" s="65" t="s">
        <v>27</v>
      </c>
      <c r="C15" s="32">
        <f>170</f>
        <v>170</v>
      </c>
      <c r="D15" s="73"/>
      <c r="E15" s="70">
        <f>935000</f>
        <v>935000</v>
      </c>
      <c r="F15" s="6"/>
      <c r="G15" s="23"/>
    </row>
    <row r="16" spans="1:7" ht="15" customHeight="1" hidden="1" outlineLevel="2">
      <c r="A16" s="5"/>
      <c r="B16" s="65" t="s">
        <v>36</v>
      </c>
      <c r="C16" s="32">
        <f>1+472</f>
        <v>473</v>
      </c>
      <c r="D16" s="73"/>
      <c r="E16" s="70">
        <f>2200+2596000</f>
        <v>2598200</v>
      </c>
      <c r="F16" s="6"/>
      <c r="G16" s="23"/>
    </row>
    <row r="17" spans="1:7" ht="15" customHeight="1" hidden="1" outlineLevel="2">
      <c r="A17" s="5"/>
      <c r="B17" s="65" t="s">
        <v>37</v>
      </c>
      <c r="C17" s="32">
        <f>1+1+1+1+571</f>
        <v>575</v>
      </c>
      <c r="D17" s="73"/>
      <c r="E17" s="70">
        <f>2200+2120+2200+2200+3140500</f>
        <v>3149220</v>
      </c>
      <c r="F17" s="6"/>
      <c r="G17" s="23"/>
    </row>
    <row r="18" spans="1:7" ht="15" customHeight="1" hidden="1" outlineLevel="2">
      <c r="A18" s="5"/>
      <c r="B18" s="65" t="s">
        <v>38</v>
      </c>
      <c r="C18" s="32">
        <v>80</v>
      </c>
      <c r="D18" s="73"/>
      <c r="E18" s="70">
        <v>440000</v>
      </c>
      <c r="F18" s="6"/>
      <c r="G18" s="23"/>
    </row>
    <row r="19" spans="1:7" ht="15" customHeight="1" hidden="1" outlineLevel="2">
      <c r="A19" s="5"/>
      <c r="B19" s="65" t="s">
        <v>25</v>
      </c>
      <c r="C19" s="32">
        <f>163</f>
        <v>163</v>
      </c>
      <c r="D19" s="73"/>
      <c r="E19" s="70">
        <f>896500</f>
        <v>896500</v>
      </c>
      <c r="F19" s="6"/>
      <c r="G19" s="23"/>
    </row>
    <row r="20" spans="1:7" ht="15" customHeight="1" hidden="1" outlineLevel="2">
      <c r="A20" s="5"/>
      <c r="B20" s="65" t="s">
        <v>39</v>
      </c>
      <c r="C20" s="32">
        <f>403+1</f>
        <v>404</v>
      </c>
      <c r="D20" s="73"/>
      <c r="E20" s="70">
        <f>2216500+5500</f>
        <v>2222000</v>
      </c>
      <c r="F20" s="6"/>
      <c r="G20" s="23"/>
    </row>
    <row r="21" spans="1:7" ht="15" customHeight="1" hidden="1" outlineLevel="2">
      <c r="A21" s="5"/>
      <c r="B21" s="65" t="s">
        <v>40</v>
      </c>
      <c r="C21" s="32">
        <f>1+153</f>
        <v>154</v>
      </c>
      <c r="D21" s="73"/>
      <c r="E21" s="70">
        <f>2200+841500</f>
        <v>843700</v>
      </c>
      <c r="F21" s="6"/>
      <c r="G21" s="23"/>
    </row>
    <row r="22" spans="1:7" ht="15" customHeight="1" hidden="1" outlineLevel="2">
      <c r="A22" s="5"/>
      <c r="B22" s="65" t="s">
        <v>41</v>
      </c>
      <c r="C22" s="32">
        <f>324+1+1</f>
        <v>326</v>
      </c>
      <c r="D22" s="73"/>
      <c r="E22" s="70">
        <f>1782000+3000+2200</f>
        <v>1787200</v>
      </c>
      <c r="F22" s="6"/>
      <c r="G22" s="23"/>
    </row>
    <row r="23" spans="1:7" ht="15" customHeight="1" hidden="1" outlineLevel="2">
      <c r="A23" s="5"/>
      <c r="B23" s="65" t="s">
        <v>24</v>
      </c>
      <c r="C23" s="32">
        <f>99</f>
        <v>99</v>
      </c>
      <c r="D23" s="73"/>
      <c r="E23" s="70">
        <f>544500</f>
        <v>544500</v>
      </c>
      <c r="F23" s="6"/>
      <c r="G23" s="23"/>
    </row>
    <row r="24" spans="1:7" ht="15" customHeight="1" hidden="1" outlineLevel="2">
      <c r="A24" s="5"/>
      <c r="B24" s="65" t="s">
        <v>42</v>
      </c>
      <c r="C24" s="32">
        <f>1+429</f>
        <v>430</v>
      </c>
      <c r="D24" s="73" t="s">
        <v>7</v>
      </c>
      <c r="E24" s="70">
        <f>2200+2359500</f>
        <v>2361700</v>
      </c>
      <c r="F24" s="6"/>
      <c r="G24" s="23"/>
    </row>
    <row r="25" spans="1:7" ht="15" customHeight="1" hidden="1" outlineLevel="2">
      <c r="A25" s="5"/>
      <c r="B25" s="65" t="s">
        <v>30</v>
      </c>
      <c r="C25" s="32">
        <f>278+1</f>
        <v>279</v>
      </c>
      <c r="D25" s="73"/>
      <c r="E25" s="70">
        <f>1529000+7000</f>
        <v>1536000</v>
      </c>
      <c r="F25" s="6"/>
      <c r="G25" s="23"/>
    </row>
    <row r="26" spans="1:7" ht="15" customHeight="1" hidden="1" outlineLevel="2">
      <c r="A26" s="5"/>
      <c r="B26" s="65" t="s">
        <v>43</v>
      </c>
      <c r="C26" s="32">
        <f>219+1</f>
        <v>220</v>
      </c>
      <c r="D26" s="73"/>
      <c r="E26" s="70">
        <f>1204500+5000</f>
        <v>1209500</v>
      </c>
      <c r="F26" s="6"/>
      <c r="G26" s="23"/>
    </row>
    <row r="27" spans="1:7" ht="15" customHeight="1" hidden="1" outlineLevel="2">
      <c r="A27" s="5"/>
      <c r="B27" s="65" t="s">
        <v>31</v>
      </c>
      <c r="C27" s="32">
        <f>205</f>
        <v>205</v>
      </c>
      <c r="D27" s="73"/>
      <c r="E27" s="70">
        <v>1127500</v>
      </c>
      <c r="F27" s="6"/>
      <c r="G27" s="23"/>
    </row>
    <row r="28" spans="1:7" ht="15" customHeight="1" hidden="1" outlineLevel="2">
      <c r="A28" s="5"/>
      <c r="B28" s="65" t="s">
        <v>44</v>
      </c>
      <c r="C28" s="32">
        <f>128</f>
        <v>128</v>
      </c>
      <c r="D28" s="73"/>
      <c r="E28" s="70">
        <f>704000</f>
        <v>704000</v>
      </c>
      <c r="F28" s="6"/>
      <c r="G28" s="23"/>
    </row>
    <row r="29" spans="1:7" ht="14.25" customHeight="1" hidden="1" outlineLevel="2">
      <c r="A29" s="5"/>
      <c r="B29" s="65" t="s">
        <v>45</v>
      </c>
      <c r="C29" s="32">
        <v>114</v>
      </c>
      <c r="D29" s="73"/>
      <c r="E29" s="78">
        <v>627000</v>
      </c>
      <c r="F29" s="6"/>
      <c r="G29" s="23"/>
    </row>
    <row r="30" spans="1:7" ht="12" customHeight="1" outlineLevel="2">
      <c r="A30" s="5"/>
      <c r="B30" s="87"/>
      <c r="C30" s="5"/>
      <c r="D30" s="63"/>
      <c r="E30" s="78"/>
      <c r="F30" s="6"/>
      <c r="G30" s="23"/>
    </row>
    <row r="31" spans="1:7" ht="15" customHeight="1" outlineLevel="2">
      <c r="A31" s="5"/>
      <c r="B31" s="86" t="s">
        <v>5</v>
      </c>
      <c r="C31" s="11"/>
      <c r="D31" s="63"/>
      <c r="E31" s="70"/>
      <c r="F31" s="6"/>
      <c r="G31" s="23"/>
    </row>
    <row r="32" spans="1:7" ht="15" customHeight="1" outlineLevel="2">
      <c r="A32" s="5"/>
      <c r="B32" s="65" t="s">
        <v>6</v>
      </c>
      <c r="C32" s="32"/>
      <c r="D32" s="5" t="s">
        <v>106</v>
      </c>
      <c r="E32" s="70">
        <f>21000+13333</f>
        <v>34333</v>
      </c>
      <c r="F32" s="6"/>
      <c r="G32" s="23"/>
    </row>
    <row r="33" spans="1:7" ht="15" customHeight="1" outlineLevel="2">
      <c r="A33" s="5"/>
      <c r="B33" s="65" t="s">
        <v>133</v>
      </c>
      <c r="C33" s="32"/>
      <c r="D33" s="5" t="s">
        <v>134</v>
      </c>
      <c r="E33" s="70">
        <v>392672</v>
      </c>
      <c r="F33" s="6"/>
      <c r="G33" s="23"/>
    </row>
    <row r="34" spans="1:7" ht="15" customHeight="1" outlineLevel="2">
      <c r="A34" s="5"/>
      <c r="B34" s="65" t="s">
        <v>135</v>
      </c>
      <c r="C34" s="32"/>
      <c r="D34" s="5" t="s">
        <v>136</v>
      </c>
      <c r="E34" s="70">
        <v>170492</v>
      </c>
      <c r="F34" s="6"/>
      <c r="G34" s="23"/>
    </row>
    <row r="35" spans="1:7" ht="15" customHeight="1" outlineLevel="2">
      <c r="A35" s="5"/>
      <c r="B35" s="65" t="s">
        <v>137</v>
      </c>
      <c r="C35" s="32"/>
      <c r="D35" s="5" t="s">
        <v>138</v>
      </c>
      <c r="E35" s="70">
        <v>700000</v>
      </c>
      <c r="F35" s="6"/>
      <c r="G35" s="23"/>
    </row>
    <row r="36" spans="1:7" ht="15" customHeight="1" outlineLevel="2">
      <c r="A36" s="5"/>
      <c r="B36" s="65" t="s">
        <v>128</v>
      </c>
      <c r="C36" s="32"/>
      <c r="D36" s="5" t="s">
        <v>129</v>
      </c>
      <c r="E36" s="70">
        <v>20039</v>
      </c>
      <c r="F36" s="6"/>
      <c r="G36" s="23"/>
    </row>
    <row r="37" spans="1:7" ht="15" customHeight="1" outlineLevel="2">
      <c r="A37" s="5"/>
      <c r="B37" s="65" t="s">
        <v>101</v>
      </c>
      <c r="C37" s="32"/>
      <c r="D37" s="5" t="s">
        <v>126</v>
      </c>
      <c r="E37" s="70">
        <f>15528199+1748184</f>
        <v>17276383</v>
      </c>
      <c r="F37" s="6"/>
      <c r="G37" s="23"/>
    </row>
    <row r="38" spans="1:8" ht="15" customHeight="1" outlineLevel="2">
      <c r="A38" s="5"/>
      <c r="B38" s="65" t="s">
        <v>91</v>
      </c>
      <c r="C38" s="32"/>
      <c r="D38" s="5" t="s">
        <v>90</v>
      </c>
      <c r="E38" s="70">
        <v>13576619</v>
      </c>
      <c r="F38" s="6"/>
      <c r="G38" s="23"/>
      <c r="H38" s="3"/>
    </row>
    <row r="39" spans="1:8" ht="15" customHeight="1" outlineLevel="2">
      <c r="A39" s="5"/>
      <c r="B39" s="65" t="s">
        <v>131</v>
      </c>
      <c r="C39" s="32"/>
      <c r="D39" s="5" t="s">
        <v>130</v>
      </c>
      <c r="E39" s="70">
        <v>16759</v>
      </c>
      <c r="F39" s="6"/>
      <c r="G39" s="23"/>
      <c r="H39" s="3"/>
    </row>
    <row r="40" spans="1:8" ht="15" customHeight="1" outlineLevel="2">
      <c r="A40" s="5"/>
      <c r="B40" s="65" t="s">
        <v>139</v>
      </c>
      <c r="C40" s="32"/>
      <c r="D40" s="5" t="s">
        <v>130</v>
      </c>
      <c r="E40" s="70">
        <v>25377</v>
      </c>
      <c r="F40" s="6"/>
      <c r="G40" s="23"/>
      <c r="H40" s="3"/>
    </row>
    <row r="41" spans="1:8" ht="15" customHeight="1" outlineLevel="2">
      <c r="A41" s="5"/>
      <c r="B41" s="65" t="s">
        <v>116</v>
      </c>
      <c r="C41" s="32"/>
      <c r="D41" s="5" t="s">
        <v>130</v>
      </c>
      <c r="E41" s="70">
        <v>7422</v>
      </c>
      <c r="F41" s="6"/>
      <c r="G41" s="23"/>
      <c r="H41" s="3"/>
    </row>
    <row r="42" spans="1:7" ht="15" customHeight="1" outlineLevel="2">
      <c r="A42" s="5"/>
      <c r="B42" s="65" t="s">
        <v>89</v>
      </c>
      <c r="C42" s="32"/>
      <c r="D42" s="5" t="s">
        <v>102</v>
      </c>
      <c r="E42" s="70">
        <f>38983+64972+40000</f>
        <v>143955</v>
      </c>
      <c r="F42" s="6"/>
      <c r="G42" s="23"/>
    </row>
    <row r="43" spans="1:7" ht="15" customHeight="1" outlineLevel="2">
      <c r="A43" s="5"/>
      <c r="B43" s="65" t="s">
        <v>93</v>
      </c>
      <c r="C43" s="32"/>
      <c r="D43" s="5" t="s">
        <v>132</v>
      </c>
      <c r="E43" s="78">
        <v>165911</v>
      </c>
      <c r="F43" s="6">
        <f>SUM(E32:E43)</f>
        <v>32529962</v>
      </c>
      <c r="G43" s="23"/>
    </row>
    <row r="44" spans="1:7" ht="15" customHeight="1" outlineLevel="2">
      <c r="A44" s="5"/>
      <c r="B44" s="65"/>
      <c r="C44" s="32"/>
      <c r="D44" s="5"/>
      <c r="E44" s="78"/>
      <c r="F44" s="6"/>
      <c r="G44" s="23"/>
    </row>
    <row r="45" spans="1:7" ht="15" customHeight="1" outlineLevel="2">
      <c r="A45" s="5" t="s">
        <v>7</v>
      </c>
      <c r="B45" s="86" t="s">
        <v>8</v>
      </c>
      <c r="C45" s="33"/>
      <c r="D45" s="11"/>
      <c r="E45" s="70"/>
      <c r="F45" s="6"/>
      <c r="G45" s="23"/>
    </row>
    <row r="46" spans="1:7" ht="15" customHeight="1" outlineLevel="2" thickBot="1">
      <c r="A46" s="5"/>
      <c r="B46" s="88" t="s">
        <v>9</v>
      </c>
      <c r="C46" s="32"/>
      <c r="D46" s="61" t="s">
        <v>79</v>
      </c>
      <c r="E46" s="92">
        <f>81165+35830+165898</f>
        <v>282893</v>
      </c>
      <c r="F46" s="68">
        <f>SUM(E46:E46)</f>
        <v>282893</v>
      </c>
      <c r="G46" s="91"/>
    </row>
    <row r="47" spans="1:7" ht="12" outlineLevel="2">
      <c r="A47" s="5"/>
      <c r="B47" s="89" t="s">
        <v>10</v>
      </c>
      <c r="C47" s="80"/>
      <c r="D47" s="5"/>
      <c r="E47" s="65"/>
      <c r="F47" s="6"/>
      <c r="G47" s="69"/>
    </row>
    <row r="48" spans="1:7" ht="15" customHeight="1" outlineLevel="2">
      <c r="A48" s="5"/>
      <c r="B48" s="86" t="s">
        <v>11</v>
      </c>
      <c r="C48" s="81"/>
      <c r="D48" s="11"/>
      <c r="E48" s="70"/>
      <c r="F48" s="6"/>
      <c r="G48" s="69"/>
    </row>
    <row r="49" spans="1:7" ht="14.25" customHeight="1" outlineLevel="2">
      <c r="A49" s="5"/>
      <c r="B49" s="65" t="s">
        <v>147</v>
      </c>
      <c r="C49" s="81"/>
      <c r="D49" s="5" t="s">
        <v>148</v>
      </c>
      <c r="E49" s="70">
        <v>8000</v>
      </c>
      <c r="F49" s="6"/>
      <c r="G49" s="69"/>
    </row>
    <row r="50" spans="1:7" ht="14.25" customHeight="1" outlineLevel="2">
      <c r="A50" s="5"/>
      <c r="B50" s="65" t="s">
        <v>67</v>
      </c>
      <c r="C50" s="81"/>
      <c r="D50" s="5" t="s">
        <v>165</v>
      </c>
      <c r="E50" s="70">
        <v>10780</v>
      </c>
      <c r="F50" s="6"/>
      <c r="G50" s="69"/>
    </row>
    <row r="51" spans="1:7" ht="14.25" customHeight="1" outlineLevel="2">
      <c r="A51" s="5"/>
      <c r="B51" s="65" t="s">
        <v>83</v>
      </c>
      <c r="C51" s="81"/>
      <c r="D51" s="5" t="s">
        <v>165</v>
      </c>
      <c r="E51" s="70">
        <v>9995</v>
      </c>
      <c r="F51" s="6"/>
      <c r="G51" s="69"/>
    </row>
    <row r="52" spans="1:7" ht="14.25" customHeight="1" outlineLevel="2">
      <c r="A52" s="5"/>
      <c r="B52" s="65" t="s">
        <v>61</v>
      </c>
      <c r="C52" s="81"/>
      <c r="D52" s="5" t="s">
        <v>165</v>
      </c>
      <c r="E52" s="70">
        <v>15214</v>
      </c>
      <c r="F52" s="6"/>
      <c r="G52" s="69"/>
    </row>
    <row r="53" spans="1:7" ht="14.25" customHeight="1" outlineLevel="2">
      <c r="A53" s="5"/>
      <c r="B53" s="65" t="s">
        <v>61</v>
      </c>
      <c r="C53" s="81"/>
      <c r="D53" s="5" t="s">
        <v>142</v>
      </c>
      <c r="E53" s="70">
        <v>24640</v>
      </c>
      <c r="F53" s="6"/>
      <c r="G53" s="69"/>
    </row>
    <row r="54" spans="1:7" ht="14.25" customHeight="1" outlineLevel="2">
      <c r="A54" s="5"/>
      <c r="B54" s="65" t="s">
        <v>176</v>
      </c>
      <c r="C54" s="81"/>
      <c r="D54" s="5" t="s">
        <v>177</v>
      </c>
      <c r="E54" s="70">
        <v>20000</v>
      </c>
      <c r="F54" s="6"/>
      <c r="G54" s="69"/>
    </row>
    <row r="55" spans="1:7" ht="14.25" customHeight="1" outlineLevel="2">
      <c r="A55" s="5"/>
      <c r="B55" s="65" t="s">
        <v>137</v>
      </c>
      <c r="C55" s="81"/>
      <c r="D55" s="5" t="s">
        <v>169</v>
      </c>
      <c r="E55" s="70">
        <v>700000</v>
      </c>
      <c r="F55" s="6"/>
      <c r="G55" s="69"/>
    </row>
    <row r="56" spans="1:7" ht="14.25" customHeight="1" outlineLevel="2">
      <c r="A56" s="5"/>
      <c r="B56" s="65" t="s">
        <v>99</v>
      </c>
      <c r="C56" s="81"/>
      <c r="D56" s="5" t="s">
        <v>125</v>
      </c>
      <c r="E56" s="70">
        <f>7990+21830</f>
        <v>29820</v>
      </c>
      <c r="F56" s="6"/>
      <c r="G56" s="69"/>
    </row>
    <row r="57" spans="1:7" ht="14.25" customHeight="1" outlineLevel="2">
      <c r="A57" s="5"/>
      <c r="B57" s="65" t="s">
        <v>151</v>
      </c>
      <c r="C57" s="81"/>
      <c r="D57" s="5" t="s">
        <v>152</v>
      </c>
      <c r="E57" s="70">
        <v>165000</v>
      </c>
      <c r="F57" s="6"/>
      <c r="G57" s="69"/>
    </row>
    <row r="58" spans="1:7" ht="14.25" customHeight="1" outlineLevel="2">
      <c r="A58" s="5"/>
      <c r="B58" s="65" t="s">
        <v>93</v>
      </c>
      <c r="C58" s="81"/>
      <c r="D58" s="5" t="s">
        <v>157</v>
      </c>
      <c r="E58" s="70">
        <v>165911</v>
      </c>
      <c r="F58" s="6"/>
      <c r="G58" s="69"/>
    </row>
    <row r="59" spans="1:7" ht="14.25" customHeight="1" outlineLevel="2">
      <c r="A59" s="5"/>
      <c r="B59" s="65" t="s">
        <v>101</v>
      </c>
      <c r="C59" s="81"/>
      <c r="D59" s="5" t="s">
        <v>146</v>
      </c>
      <c r="E59" s="70">
        <f>2156179+5000000+5000000+44872+3409281+514688+143320</f>
        <v>16268340</v>
      </c>
      <c r="F59" s="6"/>
      <c r="G59" s="69"/>
    </row>
    <row r="60" spans="1:7" ht="14.25" customHeight="1" outlineLevel="2">
      <c r="A60" s="5"/>
      <c r="B60" s="65" t="s">
        <v>91</v>
      </c>
      <c r="C60" s="81"/>
      <c r="D60" s="5" t="s">
        <v>166</v>
      </c>
      <c r="E60" s="70">
        <f>5000000+1776652+5000000+92662+2129261+654113+17120+5000000+5000000+2116340</f>
        <v>26786148</v>
      </c>
      <c r="F60" s="6"/>
      <c r="G60" s="69"/>
    </row>
    <row r="61" spans="1:7" ht="14.25" customHeight="1" outlineLevel="2">
      <c r="A61" s="5"/>
      <c r="B61" s="65" t="s">
        <v>91</v>
      </c>
      <c r="C61" s="81"/>
      <c r="D61" s="5" t="s">
        <v>140</v>
      </c>
      <c r="E61" s="70">
        <v>1100000</v>
      </c>
      <c r="F61" s="6"/>
      <c r="G61" s="69"/>
    </row>
    <row r="62" spans="1:7" ht="14.25" customHeight="1" outlineLevel="2">
      <c r="A62" s="5"/>
      <c r="B62" s="65" t="s">
        <v>81</v>
      </c>
      <c r="C62" s="81"/>
      <c r="D62" s="5" t="s">
        <v>109</v>
      </c>
      <c r="E62" s="70">
        <v>80000</v>
      </c>
      <c r="F62" s="6"/>
      <c r="G62" s="69"/>
    </row>
    <row r="63" spans="1:7" ht="15" customHeight="1" outlineLevel="2">
      <c r="A63" s="5"/>
      <c r="B63" s="65" t="s">
        <v>70</v>
      </c>
      <c r="C63" s="81"/>
      <c r="D63" s="5" t="s">
        <v>76</v>
      </c>
      <c r="E63" s="70">
        <f>64468</f>
        <v>64468</v>
      </c>
      <c r="F63" s="6"/>
      <c r="G63" s="69"/>
    </row>
    <row r="64" spans="1:7" ht="15" customHeight="1" outlineLevel="2">
      <c r="A64" s="5"/>
      <c r="B64" s="65" t="s">
        <v>85</v>
      </c>
      <c r="C64" s="81"/>
      <c r="D64" s="5" t="s">
        <v>86</v>
      </c>
      <c r="E64" s="70">
        <v>1002</v>
      </c>
      <c r="F64" s="6"/>
      <c r="G64" s="69"/>
    </row>
    <row r="65" spans="1:7" ht="15" customHeight="1" outlineLevel="2">
      <c r="A65" s="5"/>
      <c r="B65" s="65" t="s">
        <v>23</v>
      </c>
      <c r="C65" s="81"/>
      <c r="D65" s="5" t="s">
        <v>114</v>
      </c>
      <c r="E65" s="70">
        <v>65160</v>
      </c>
      <c r="F65" s="6"/>
      <c r="G65" s="69"/>
    </row>
    <row r="66" spans="1:7" ht="15" customHeight="1" outlineLevel="2">
      <c r="A66" s="5"/>
      <c r="B66" s="65" t="s">
        <v>23</v>
      </c>
      <c r="C66" s="81"/>
      <c r="D66" s="5" t="s">
        <v>77</v>
      </c>
      <c r="E66" s="78">
        <v>29544</v>
      </c>
      <c r="F66" s="6"/>
      <c r="G66" s="69">
        <f>SUM(E49:E66)</f>
        <v>45544022</v>
      </c>
    </row>
    <row r="67" spans="1:7" ht="15" customHeight="1" outlineLevel="2">
      <c r="A67" s="5"/>
      <c r="B67" s="65"/>
      <c r="C67" s="81"/>
      <c r="D67" s="5"/>
      <c r="E67" s="78"/>
      <c r="F67" s="6"/>
      <c r="G67" s="69"/>
    </row>
    <row r="68" spans="1:7" ht="15" customHeight="1" outlineLevel="2">
      <c r="A68" s="5"/>
      <c r="B68" s="86" t="s">
        <v>8</v>
      </c>
      <c r="C68" s="81"/>
      <c r="D68" s="11"/>
      <c r="E68" s="70"/>
      <c r="F68" s="6"/>
      <c r="G68" s="69"/>
    </row>
    <row r="69" spans="1:7" ht="15" customHeight="1" outlineLevel="2">
      <c r="A69" s="5"/>
      <c r="B69" s="65" t="s">
        <v>96</v>
      </c>
      <c r="C69" s="81"/>
      <c r="D69" s="5" t="s">
        <v>168</v>
      </c>
      <c r="E69" s="70">
        <v>125000</v>
      </c>
      <c r="F69" s="6"/>
      <c r="G69" s="69"/>
    </row>
    <row r="70" spans="1:7" ht="15" customHeight="1" outlineLevel="2">
      <c r="A70" s="5"/>
      <c r="B70" s="65" t="s">
        <v>153</v>
      </c>
      <c r="C70" s="81"/>
      <c r="D70" s="5" t="s">
        <v>154</v>
      </c>
      <c r="E70" s="70">
        <v>200000</v>
      </c>
      <c r="F70" s="6"/>
      <c r="G70" s="69"/>
    </row>
    <row r="71" spans="1:7" ht="15" customHeight="1" outlineLevel="2">
      <c r="A71" s="5"/>
      <c r="B71" s="65" t="s">
        <v>144</v>
      </c>
      <c r="C71" s="81"/>
      <c r="D71" s="5" t="s">
        <v>145</v>
      </c>
      <c r="E71" s="70">
        <v>62088</v>
      </c>
      <c r="F71" s="6"/>
      <c r="G71" s="69"/>
    </row>
    <row r="72" spans="1:7" ht="15" customHeight="1" outlineLevel="2">
      <c r="A72" s="5"/>
      <c r="B72" s="65" t="s">
        <v>121</v>
      </c>
      <c r="C72" s="81"/>
      <c r="D72" s="5" t="s">
        <v>160</v>
      </c>
      <c r="E72" s="70">
        <v>238000</v>
      </c>
      <c r="F72" s="6"/>
      <c r="G72" s="69"/>
    </row>
    <row r="73" spans="1:7" ht="15" customHeight="1" outlineLevel="2">
      <c r="A73" s="5"/>
      <c r="B73" s="65" t="s">
        <v>121</v>
      </c>
      <c r="C73" s="81"/>
      <c r="D73" s="5" t="s">
        <v>163</v>
      </c>
      <c r="E73" s="70">
        <v>145000</v>
      </c>
      <c r="F73" s="6"/>
      <c r="G73" s="69"/>
    </row>
    <row r="74" spans="1:7" ht="15" customHeight="1" outlineLevel="2">
      <c r="A74" s="5"/>
      <c r="B74" s="65" t="s">
        <v>171</v>
      </c>
      <c r="C74" s="81"/>
      <c r="D74" s="5" t="s">
        <v>172</v>
      </c>
      <c r="E74" s="70">
        <v>425425</v>
      </c>
      <c r="F74" s="6"/>
      <c r="G74" s="69"/>
    </row>
    <row r="75" spans="1:7" ht="15" customHeight="1" outlineLevel="2">
      <c r="A75" s="5"/>
      <c r="B75" s="65" t="s">
        <v>117</v>
      </c>
      <c r="C75" s="81"/>
      <c r="D75" s="5" t="s">
        <v>174</v>
      </c>
      <c r="E75" s="70">
        <v>25000</v>
      </c>
      <c r="F75" s="6"/>
      <c r="G75" s="69"/>
    </row>
    <row r="76" spans="1:7" ht="15" customHeight="1" outlineLevel="2">
      <c r="A76" s="5"/>
      <c r="B76" s="65" t="s">
        <v>94</v>
      </c>
      <c r="C76" s="81"/>
      <c r="D76" s="5" t="s">
        <v>95</v>
      </c>
      <c r="E76" s="70">
        <f>17529+25740</f>
        <v>43269</v>
      </c>
      <c r="F76" s="6"/>
      <c r="G76" s="69"/>
    </row>
    <row r="77" spans="1:7" ht="15" customHeight="1" outlineLevel="2">
      <c r="A77" s="5"/>
      <c r="B77" s="65" t="s">
        <v>58</v>
      </c>
      <c r="C77" s="81"/>
      <c r="D77" s="5" t="s">
        <v>115</v>
      </c>
      <c r="E77" s="70">
        <f>1900+2300</f>
        <v>4200</v>
      </c>
      <c r="F77" s="6"/>
      <c r="G77" s="69"/>
    </row>
    <row r="78" spans="1:7" ht="15" customHeight="1" outlineLevel="2">
      <c r="A78" s="5"/>
      <c r="B78" s="65" t="s">
        <v>47</v>
      </c>
      <c r="C78" s="81"/>
      <c r="D78" s="5" t="s">
        <v>78</v>
      </c>
      <c r="E78" s="78">
        <v>281347</v>
      </c>
      <c r="F78" s="6"/>
      <c r="G78" s="69">
        <f>SUM(E69:E78)</f>
        <v>1549329</v>
      </c>
    </row>
    <row r="79" spans="1:7" ht="14.25" customHeight="1" outlineLevel="2">
      <c r="A79" s="5"/>
      <c r="B79" s="65"/>
      <c r="C79" s="81"/>
      <c r="D79" s="5"/>
      <c r="E79" s="78"/>
      <c r="F79" s="6"/>
      <c r="G79" s="69"/>
    </row>
    <row r="80" spans="1:7" ht="14.25" customHeight="1" outlineLevel="2">
      <c r="A80" s="5"/>
      <c r="B80" s="105"/>
      <c r="C80" s="106"/>
      <c r="D80" s="106"/>
      <c r="E80" s="107"/>
      <c r="F80" s="108"/>
      <c r="G80" s="109"/>
    </row>
    <row r="81" spans="1:7" ht="15" customHeight="1" outlineLevel="2">
      <c r="A81" s="5"/>
      <c r="B81" s="86" t="s">
        <v>18</v>
      </c>
      <c r="C81" s="81"/>
      <c r="D81" s="5"/>
      <c r="E81" s="70"/>
      <c r="F81" s="6"/>
      <c r="G81" s="69"/>
    </row>
    <row r="82" spans="1:7" ht="15" customHeight="1" outlineLevel="2">
      <c r="A82" s="5"/>
      <c r="B82" s="65" t="s">
        <v>22</v>
      </c>
      <c r="C82" s="81"/>
      <c r="D82" s="5" t="s">
        <v>159</v>
      </c>
      <c r="E82" s="78">
        <v>641602</v>
      </c>
      <c r="F82" s="6"/>
      <c r="G82" s="69">
        <f>SUM(E82:F82)</f>
        <v>641602</v>
      </c>
    </row>
    <row r="83" spans="1:7" ht="15" customHeight="1" hidden="1" outlineLevel="2" thickTop="1">
      <c r="A83" s="5"/>
      <c r="B83" s="65"/>
      <c r="C83" s="81"/>
      <c r="D83" s="5"/>
      <c r="E83" s="78"/>
      <c r="F83" s="6"/>
      <c r="G83" s="69"/>
    </row>
    <row r="84" spans="1:7" ht="14.25" customHeight="1" outlineLevel="2">
      <c r="A84" s="5"/>
      <c r="B84" s="65"/>
      <c r="C84" s="81"/>
      <c r="D84" s="5"/>
      <c r="E84" s="78"/>
      <c r="F84" s="6"/>
      <c r="G84" s="69"/>
    </row>
    <row r="85" spans="1:7" ht="15" customHeight="1" outlineLevel="2">
      <c r="A85" s="5"/>
      <c r="B85" s="86" t="s">
        <v>57</v>
      </c>
      <c r="C85" s="81"/>
      <c r="D85" s="78"/>
      <c r="E85" s="78"/>
      <c r="F85" s="69"/>
      <c r="G85" s="69"/>
    </row>
    <row r="86" spans="1:7" ht="15" customHeight="1" outlineLevel="2">
      <c r="A86" s="5"/>
      <c r="B86" s="65" t="s">
        <v>69</v>
      </c>
      <c r="C86" s="81"/>
      <c r="D86" s="5" t="s">
        <v>143</v>
      </c>
      <c r="E86" s="70">
        <v>900000</v>
      </c>
      <c r="F86" s="6"/>
      <c r="G86" s="69"/>
    </row>
    <row r="87" spans="1:7" ht="15" customHeight="1" outlineLevel="2">
      <c r="A87" s="5"/>
      <c r="B87" s="65" t="s">
        <v>111</v>
      </c>
      <c r="C87" s="81"/>
      <c r="D87" s="5" t="s">
        <v>167</v>
      </c>
      <c r="E87" s="70">
        <v>250000</v>
      </c>
      <c r="F87" s="6"/>
      <c r="G87" s="69"/>
    </row>
    <row r="88" spans="1:7" ht="15" customHeight="1" outlineLevel="2">
      <c r="A88" s="5"/>
      <c r="B88" s="65" t="s">
        <v>112</v>
      </c>
      <c r="C88" s="81"/>
      <c r="D88" s="5" t="s">
        <v>170</v>
      </c>
      <c r="E88" s="70">
        <v>618000</v>
      </c>
      <c r="F88" s="6"/>
      <c r="G88" s="69"/>
    </row>
    <row r="89" spans="1:7" ht="15" customHeight="1" outlineLevel="2">
      <c r="A89" s="5"/>
      <c r="B89" s="65" t="s">
        <v>108</v>
      </c>
      <c r="C89" s="81"/>
      <c r="D89" s="5" t="s">
        <v>149</v>
      </c>
      <c r="E89" s="78">
        <v>1120448</v>
      </c>
      <c r="F89" s="6"/>
      <c r="G89" s="69">
        <f>SUM(E86:E89)</f>
        <v>2888448</v>
      </c>
    </row>
    <row r="90" spans="1:7" ht="14.25" customHeight="1" outlineLevel="2">
      <c r="A90" s="5"/>
      <c r="B90" s="65"/>
      <c r="C90" s="81"/>
      <c r="D90" s="5"/>
      <c r="E90" s="78"/>
      <c r="F90" s="6"/>
      <c r="G90" s="69"/>
    </row>
    <row r="91" spans="1:7" ht="15" customHeight="1" outlineLevel="2">
      <c r="A91" s="5"/>
      <c r="B91" s="86" t="s">
        <v>19</v>
      </c>
      <c r="C91" s="81"/>
      <c r="D91" s="5"/>
      <c r="E91" s="70"/>
      <c r="F91" s="6"/>
      <c r="G91" s="69"/>
    </row>
    <row r="92" spans="1:7" ht="15" customHeight="1" outlineLevel="2">
      <c r="A92" s="5"/>
      <c r="B92" s="65" t="s">
        <v>100</v>
      </c>
      <c r="C92" s="81"/>
      <c r="D92" s="5" t="s">
        <v>164</v>
      </c>
      <c r="E92" s="70">
        <v>10000</v>
      </c>
      <c r="F92" s="6"/>
      <c r="G92" s="69"/>
    </row>
    <row r="93" spans="1:7" ht="15" customHeight="1" outlineLevel="2">
      <c r="A93" s="5"/>
      <c r="B93" s="65" t="s">
        <v>118</v>
      </c>
      <c r="C93" s="81"/>
      <c r="D93" s="5" t="s">
        <v>164</v>
      </c>
      <c r="E93" s="70">
        <v>10000</v>
      </c>
      <c r="F93" s="6"/>
      <c r="G93" s="69"/>
    </row>
    <row r="94" spans="1:7" ht="15" customHeight="1" outlineLevel="2">
      <c r="A94" s="5"/>
      <c r="B94" s="65" t="s">
        <v>119</v>
      </c>
      <c r="C94" s="81"/>
      <c r="D94" s="5" t="s">
        <v>164</v>
      </c>
      <c r="E94" s="70">
        <v>10000</v>
      </c>
      <c r="F94" s="6"/>
      <c r="G94" s="69"/>
    </row>
    <row r="95" spans="1:7" ht="15" customHeight="1" outlineLevel="2">
      <c r="A95" s="5"/>
      <c r="B95" s="65" t="s">
        <v>120</v>
      </c>
      <c r="C95" s="81"/>
      <c r="D95" s="5" t="s">
        <v>164</v>
      </c>
      <c r="E95" s="70">
        <v>10000</v>
      </c>
      <c r="F95" s="6"/>
      <c r="G95" s="69"/>
    </row>
    <row r="96" spans="1:7" ht="15" customHeight="1" outlineLevel="2">
      <c r="A96" s="5"/>
      <c r="B96" s="65" t="s">
        <v>121</v>
      </c>
      <c r="C96" s="81"/>
      <c r="D96" s="5" t="s">
        <v>164</v>
      </c>
      <c r="E96" s="70">
        <v>10000</v>
      </c>
      <c r="F96" s="6"/>
      <c r="G96" s="69"/>
    </row>
    <row r="97" spans="1:7" ht="15" customHeight="1" outlineLevel="2">
      <c r="A97" s="5"/>
      <c r="B97" s="65" t="s">
        <v>122</v>
      </c>
      <c r="C97" s="81"/>
      <c r="D97" s="5" t="s">
        <v>164</v>
      </c>
      <c r="E97" s="70">
        <v>10000</v>
      </c>
      <c r="F97" s="6"/>
      <c r="G97" s="69"/>
    </row>
    <row r="98" spans="1:7" ht="15" customHeight="1" outlineLevel="2">
      <c r="A98" s="5"/>
      <c r="B98" s="65" t="s">
        <v>123</v>
      </c>
      <c r="C98" s="81"/>
      <c r="D98" s="5" t="s">
        <v>164</v>
      </c>
      <c r="E98" s="70">
        <v>10000</v>
      </c>
      <c r="F98" s="6"/>
      <c r="G98" s="69"/>
    </row>
    <row r="99" spans="1:7" ht="15" customHeight="1" outlineLevel="2">
      <c r="A99" s="5"/>
      <c r="B99" s="65" t="s">
        <v>124</v>
      </c>
      <c r="C99" s="81"/>
      <c r="D99" s="5" t="s">
        <v>164</v>
      </c>
      <c r="E99" s="70">
        <v>10000</v>
      </c>
      <c r="F99" s="6"/>
      <c r="G99" s="69"/>
    </row>
    <row r="100" spans="1:7" ht="15" customHeight="1" outlineLevel="2">
      <c r="A100" s="5"/>
      <c r="B100" s="66" t="s">
        <v>20</v>
      </c>
      <c r="C100" s="81"/>
      <c r="D100" s="5"/>
      <c r="E100" s="70"/>
      <c r="F100" s="6"/>
      <c r="G100" s="69"/>
    </row>
    <row r="101" spans="1:7" ht="15" customHeight="1" outlineLevel="2">
      <c r="A101" s="5"/>
      <c r="B101" s="65" t="s">
        <v>83</v>
      </c>
      <c r="C101" s="81"/>
      <c r="D101" s="5" t="s">
        <v>105</v>
      </c>
      <c r="E101" s="70">
        <v>39684</v>
      </c>
      <c r="F101" s="6"/>
      <c r="G101" s="69"/>
    </row>
    <row r="102" spans="1:7" ht="15" customHeight="1" outlineLevel="2">
      <c r="A102" s="5"/>
      <c r="B102" s="65" t="s">
        <v>150</v>
      </c>
      <c r="C102" s="81"/>
      <c r="D102" s="5" t="s">
        <v>162</v>
      </c>
      <c r="E102" s="70">
        <f>79168+82513</f>
        <v>161681</v>
      </c>
      <c r="F102" s="6"/>
      <c r="G102" s="69"/>
    </row>
    <row r="103" spans="1:7" ht="15" customHeight="1" outlineLevel="2">
      <c r="A103" s="5"/>
      <c r="B103" s="65" t="s">
        <v>99</v>
      </c>
      <c r="C103" s="81"/>
      <c r="D103" s="5" t="s">
        <v>107</v>
      </c>
      <c r="E103" s="78">
        <v>15990</v>
      </c>
      <c r="F103" s="6"/>
      <c r="G103" s="69">
        <f>SUM(E92:E103)</f>
        <v>297355</v>
      </c>
    </row>
    <row r="104" spans="1:7" ht="15" customHeight="1" outlineLevel="2">
      <c r="A104" s="5"/>
      <c r="B104" s="65"/>
      <c r="C104" s="81"/>
      <c r="D104" s="5"/>
      <c r="E104" s="78"/>
      <c r="F104" s="6"/>
      <c r="G104" s="69"/>
    </row>
    <row r="105" spans="1:7" ht="15" customHeight="1" outlineLevel="2">
      <c r="A105" s="5"/>
      <c r="B105" s="66" t="s">
        <v>155</v>
      </c>
      <c r="C105" s="81"/>
      <c r="D105" s="5"/>
      <c r="E105" s="70"/>
      <c r="F105" s="6"/>
      <c r="G105" s="69"/>
    </row>
    <row r="106" spans="1:7" ht="15" customHeight="1" outlineLevel="2">
      <c r="A106" s="5"/>
      <c r="B106" s="65" t="s">
        <v>133</v>
      </c>
      <c r="C106" s="81"/>
      <c r="D106" s="5" t="s">
        <v>156</v>
      </c>
      <c r="E106" s="78">
        <v>1485000</v>
      </c>
      <c r="F106" s="6"/>
      <c r="G106" s="69">
        <f>SUM(E106:F106)</f>
        <v>1485000</v>
      </c>
    </row>
    <row r="107" spans="1:7" ht="15" customHeight="1" outlineLevel="2">
      <c r="A107" s="5"/>
      <c r="B107" s="65"/>
      <c r="C107" s="81"/>
      <c r="D107" s="5"/>
      <c r="E107" s="78"/>
      <c r="F107" s="6"/>
      <c r="G107" s="69"/>
    </row>
    <row r="108" spans="1:7" ht="15" customHeight="1" outlineLevel="2">
      <c r="A108" s="5"/>
      <c r="B108" s="66" t="s">
        <v>73</v>
      </c>
      <c r="C108" s="81"/>
      <c r="D108" s="5"/>
      <c r="E108" s="70"/>
      <c r="F108" s="6"/>
      <c r="G108" s="69"/>
    </row>
    <row r="109" spans="1:7" ht="15" customHeight="1" outlineLevel="2">
      <c r="A109" s="5"/>
      <c r="B109" s="65" t="s">
        <v>85</v>
      </c>
      <c r="C109" s="81"/>
      <c r="D109" s="5" t="s">
        <v>104</v>
      </c>
      <c r="E109" s="78">
        <v>112690</v>
      </c>
      <c r="F109" s="6"/>
      <c r="G109" s="69">
        <f>SUM(E109:E109)</f>
        <v>112690</v>
      </c>
    </row>
    <row r="110" spans="1:7" ht="15" customHeight="1" outlineLevel="2">
      <c r="A110" s="5"/>
      <c r="B110" s="65"/>
      <c r="C110" s="81"/>
      <c r="D110" s="5"/>
      <c r="E110" s="78"/>
      <c r="F110" s="6"/>
      <c r="G110" s="69"/>
    </row>
    <row r="111" spans="1:7" ht="15.75" customHeight="1" outlineLevel="2">
      <c r="A111" s="5"/>
      <c r="B111" s="86" t="s">
        <v>6</v>
      </c>
      <c r="C111" s="81"/>
      <c r="D111" s="5"/>
      <c r="E111" s="78"/>
      <c r="F111" s="6"/>
      <c r="G111" s="69"/>
    </row>
    <row r="112" spans="2:7" s="5" customFormat="1" ht="15" customHeight="1" outlineLevel="2">
      <c r="B112" s="65" t="s">
        <v>113</v>
      </c>
      <c r="C112" s="81"/>
      <c r="D112" s="5" t="s">
        <v>173</v>
      </c>
      <c r="E112" s="70">
        <v>314347</v>
      </c>
      <c r="F112" s="8"/>
      <c r="G112" s="70"/>
    </row>
    <row r="113" spans="2:7" s="5" customFormat="1" ht="15" customHeight="1" outlineLevel="2">
      <c r="B113" s="65" t="s">
        <v>161</v>
      </c>
      <c r="C113" s="81"/>
      <c r="D113" s="5" t="s">
        <v>180</v>
      </c>
      <c r="E113" s="70">
        <v>559300</v>
      </c>
      <c r="F113" s="8"/>
      <c r="G113" s="70"/>
    </row>
    <row r="114" spans="2:7" s="5" customFormat="1" ht="15" customHeight="1" outlineLevel="2">
      <c r="B114" s="105" t="s">
        <v>103</v>
      </c>
      <c r="C114" s="106"/>
      <c r="D114" s="105" t="s">
        <v>141</v>
      </c>
      <c r="E114" s="110">
        <v>137018</v>
      </c>
      <c r="F114" s="111"/>
      <c r="G114" s="110"/>
    </row>
    <row r="115" spans="1:7" ht="15" customHeight="1" outlineLevel="2">
      <c r="A115" s="5"/>
      <c r="B115" s="65" t="s">
        <v>97</v>
      </c>
      <c r="C115" s="81"/>
      <c r="D115" s="5" t="s">
        <v>98</v>
      </c>
      <c r="E115" s="78">
        <v>245810</v>
      </c>
      <c r="F115" s="6"/>
      <c r="G115" s="69">
        <f>SUM(E112:E115)</f>
        <v>1256475</v>
      </c>
    </row>
    <row r="116" spans="1:7" ht="15" customHeight="1" outlineLevel="2">
      <c r="A116" s="5"/>
      <c r="B116" s="65"/>
      <c r="C116" s="81"/>
      <c r="D116" s="5"/>
      <c r="E116" s="78"/>
      <c r="F116" s="6"/>
      <c r="G116" s="69"/>
    </row>
    <row r="117" spans="1:7" ht="15" customHeight="1" outlineLevel="2">
      <c r="A117" s="5"/>
      <c r="B117" s="86" t="s">
        <v>110</v>
      </c>
      <c r="C117" s="81"/>
      <c r="D117" s="11"/>
      <c r="E117" s="70"/>
      <c r="F117" s="6"/>
      <c r="G117" s="69"/>
    </row>
    <row r="118" spans="1:7" ht="15" customHeight="1" outlineLevel="2">
      <c r="A118" s="5"/>
      <c r="B118" s="90" t="s">
        <v>59</v>
      </c>
      <c r="C118" s="81"/>
      <c r="D118" s="5" t="s">
        <v>164</v>
      </c>
      <c r="E118" s="70">
        <v>657597</v>
      </c>
      <c r="F118" s="6"/>
      <c r="G118" s="69"/>
    </row>
    <row r="119" spans="1:7" ht="15" customHeight="1" outlineLevel="2">
      <c r="A119" s="5"/>
      <c r="B119" s="65" t="s">
        <v>64</v>
      </c>
      <c r="C119" s="81"/>
      <c r="D119" s="5" t="s">
        <v>175</v>
      </c>
      <c r="E119" s="70">
        <f>288952+288952</f>
        <v>577904</v>
      </c>
      <c r="F119" s="6"/>
      <c r="G119" s="69"/>
    </row>
    <row r="120" spans="1:7" ht="15" customHeight="1" outlineLevel="2">
      <c r="A120" s="5"/>
      <c r="B120" s="65" t="s">
        <v>51</v>
      </c>
      <c r="C120" s="81"/>
      <c r="D120" s="5" t="s">
        <v>164</v>
      </c>
      <c r="E120" s="70">
        <v>902850</v>
      </c>
      <c r="F120" s="6"/>
      <c r="G120" s="69"/>
    </row>
    <row r="121" spans="1:7" ht="15" customHeight="1" outlineLevel="2">
      <c r="A121" s="5"/>
      <c r="B121" s="65" t="s">
        <v>72</v>
      </c>
      <c r="C121" s="81"/>
      <c r="D121" s="5" t="s">
        <v>164</v>
      </c>
      <c r="E121" s="70">
        <v>715031</v>
      </c>
      <c r="F121" s="6"/>
      <c r="G121" s="69"/>
    </row>
    <row r="122" spans="1:7" ht="15" customHeight="1" outlineLevel="2">
      <c r="A122" s="5"/>
      <c r="B122" s="65" t="s">
        <v>65</v>
      </c>
      <c r="C122" s="81"/>
      <c r="D122" s="5" t="s">
        <v>164</v>
      </c>
      <c r="E122" s="70">
        <v>1022885</v>
      </c>
      <c r="F122" s="6"/>
      <c r="G122" s="69"/>
    </row>
    <row r="123" spans="1:7" ht="15" customHeight="1" outlineLevel="2">
      <c r="A123" s="5"/>
      <c r="B123" s="65" t="s">
        <v>52</v>
      </c>
      <c r="C123" s="81"/>
      <c r="D123" s="5" t="s">
        <v>164</v>
      </c>
      <c r="E123" s="70">
        <v>801360</v>
      </c>
      <c r="F123" s="6"/>
      <c r="G123" s="69"/>
    </row>
    <row r="124" spans="1:7" ht="15" customHeight="1" outlineLevel="2">
      <c r="A124" s="5"/>
      <c r="B124" s="65" t="s">
        <v>84</v>
      </c>
      <c r="C124" s="81"/>
      <c r="D124" s="5" t="s">
        <v>164</v>
      </c>
      <c r="E124" s="70">
        <v>399638</v>
      </c>
      <c r="F124" s="6"/>
      <c r="G124" s="69"/>
    </row>
    <row r="125" spans="1:7" ht="14.25" customHeight="1" outlineLevel="2">
      <c r="A125" s="5"/>
      <c r="B125" s="65" t="s">
        <v>67</v>
      </c>
      <c r="C125" s="81"/>
      <c r="D125" s="5" t="s">
        <v>164</v>
      </c>
      <c r="E125" s="70">
        <v>819102</v>
      </c>
      <c r="F125" s="6"/>
      <c r="G125" s="69"/>
    </row>
    <row r="126" spans="1:7" ht="14.25" customHeight="1" outlineLevel="2">
      <c r="A126" s="5"/>
      <c r="B126" s="65" t="s">
        <v>66</v>
      </c>
      <c r="C126" s="81"/>
      <c r="D126" s="5" t="s">
        <v>164</v>
      </c>
      <c r="E126" s="70">
        <v>562566</v>
      </c>
      <c r="F126" s="6"/>
      <c r="G126" s="69"/>
    </row>
    <row r="127" spans="1:7" ht="14.25" customHeight="1" outlineLevel="2">
      <c r="A127" s="5"/>
      <c r="B127" s="65" t="s">
        <v>61</v>
      </c>
      <c r="C127" s="81"/>
      <c r="D127" s="5" t="s">
        <v>164</v>
      </c>
      <c r="E127" s="78">
        <v>861942</v>
      </c>
      <c r="F127" s="6"/>
      <c r="G127" s="69">
        <f>SUM(E118:E127)</f>
        <v>7320875</v>
      </c>
    </row>
    <row r="128" spans="1:7" ht="15" customHeight="1" outlineLevel="2">
      <c r="A128" s="5"/>
      <c r="B128" s="65"/>
      <c r="C128" s="81"/>
      <c r="D128" s="62"/>
      <c r="E128" s="78"/>
      <c r="F128" s="6"/>
      <c r="G128" s="69"/>
    </row>
    <row r="129" spans="1:7" ht="15" customHeight="1" outlineLevel="2">
      <c r="A129" s="5"/>
      <c r="B129" s="86" t="s">
        <v>12</v>
      </c>
      <c r="C129" s="81"/>
      <c r="D129" s="5"/>
      <c r="E129" s="70"/>
      <c r="F129" s="6"/>
      <c r="G129" s="69"/>
    </row>
    <row r="130" spans="1:7" ht="15" customHeight="1" outlineLevel="2">
      <c r="A130" s="5"/>
      <c r="B130" s="65" t="s">
        <v>13</v>
      </c>
      <c r="C130" s="81"/>
      <c r="D130" s="62" t="s">
        <v>158</v>
      </c>
      <c r="E130" s="70">
        <v>253247</v>
      </c>
      <c r="F130" s="6"/>
      <c r="G130" s="69"/>
    </row>
    <row r="131" spans="1:7" ht="15" customHeight="1" outlineLevel="2">
      <c r="A131" s="5"/>
      <c r="B131" s="65" t="s">
        <v>63</v>
      </c>
      <c r="C131" s="82"/>
      <c r="D131" s="62" t="s">
        <v>158</v>
      </c>
      <c r="E131" s="70">
        <v>65889</v>
      </c>
      <c r="F131" s="6"/>
      <c r="G131" s="69"/>
    </row>
    <row r="132" spans="1:7" ht="15" customHeight="1" outlineLevel="2">
      <c r="A132" s="5"/>
      <c r="B132" s="65" t="s">
        <v>88</v>
      </c>
      <c r="C132" s="82"/>
      <c r="D132" s="62" t="s">
        <v>158</v>
      </c>
      <c r="E132" s="70">
        <v>177989</v>
      </c>
      <c r="F132" s="6"/>
      <c r="G132" s="69"/>
    </row>
    <row r="133" spans="1:7" ht="15" customHeight="1" outlineLevel="2">
      <c r="A133" s="5"/>
      <c r="B133" s="65" t="s">
        <v>87</v>
      </c>
      <c r="C133" s="82"/>
      <c r="D133" s="62" t="s">
        <v>158</v>
      </c>
      <c r="E133" s="70">
        <v>258910</v>
      </c>
      <c r="F133" s="6"/>
      <c r="G133" s="69"/>
    </row>
    <row r="134" spans="1:7" ht="15" customHeight="1" outlineLevel="2">
      <c r="A134" s="5"/>
      <c r="B134" s="65" t="s">
        <v>71</v>
      </c>
      <c r="C134" s="81"/>
      <c r="D134" s="62" t="s">
        <v>158</v>
      </c>
      <c r="E134" s="70">
        <f>108753</f>
        <v>108753</v>
      </c>
      <c r="F134" s="6"/>
      <c r="G134" s="69"/>
    </row>
    <row r="135" spans="1:7" ht="15" customHeight="1" outlineLevel="2">
      <c r="A135" s="5"/>
      <c r="B135" s="65" t="s">
        <v>48</v>
      </c>
      <c r="C135" s="81"/>
      <c r="D135" s="62" t="s">
        <v>158</v>
      </c>
      <c r="E135" s="70">
        <v>86445</v>
      </c>
      <c r="F135" s="6"/>
      <c r="G135" s="69"/>
    </row>
    <row r="136" spans="1:8" ht="15" customHeight="1" outlineLevel="2">
      <c r="A136" s="5"/>
      <c r="B136" s="65" t="s">
        <v>74</v>
      </c>
      <c r="C136" s="81"/>
      <c r="D136" s="62" t="s">
        <v>158</v>
      </c>
      <c r="E136" s="70">
        <v>382636</v>
      </c>
      <c r="F136" s="6"/>
      <c r="G136" s="69"/>
      <c r="H136" s="3"/>
    </row>
    <row r="137" spans="1:9" ht="15" customHeight="1" outlineLevel="2">
      <c r="A137" s="5"/>
      <c r="B137" s="65" t="s">
        <v>75</v>
      </c>
      <c r="C137" s="81"/>
      <c r="D137" s="62" t="s">
        <v>158</v>
      </c>
      <c r="E137" s="70">
        <v>119056</v>
      </c>
      <c r="F137" s="6"/>
      <c r="G137" s="69"/>
      <c r="I137" s="3"/>
    </row>
    <row r="138" spans="1:7" ht="15" customHeight="1" outlineLevel="2">
      <c r="A138" s="5"/>
      <c r="B138" s="65" t="s">
        <v>26</v>
      </c>
      <c r="C138" s="81"/>
      <c r="D138" s="62" t="s">
        <v>158</v>
      </c>
      <c r="E138" s="70">
        <f>28239+94051+27327+13650+40675</f>
        <v>203942</v>
      </c>
      <c r="F138" s="6"/>
      <c r="G138" s="69"/>
    </row>
    <row r="139" spans="1:7" ht="15" customHeight="1" outlineLevel="2">
      <c r="A139" s="5"/>
      <c r="B139" s="65" t="s">
        <v>68</v>
      </c>
      <c r="C139" s="81"/>
      <c r="D139" s="62" t="s">
        <v>158</v>
      </c>
      <c r="E139" s="70">
        <v>129331</v>
      </c>
      <c r="F139" s="6"/>
      <c r="G139" s="69"/>
    </row>
    <row r="140" spans="1:7" ht="15" customHeight="1" outlineLevel="2">
      <c r="A140" s="5"/>
      <c r="B140" s="65" t="s">
        <v>62</v>
      </c>
      <c r="C140" s="81"/>
      <c r="D140" s="62" t="s">
        <v>158</v>
      </c>
      <c r="E140" s="70">
        <v>61242</v>
      </c>
      <c r="F140" s="6"/>
      <c r="G140" s="69"/>
    </row>
    <row r="141" spans="1:8" ht="15" customHeight="1" outlineLevel="2" thickBot="1">
      <c r="A141" s="5"/>
      <c r="B141" s="67" t="s">
        <v>21</v>
      </c>
      <c r="C141" s="83"/>
      <c r="D141" s="62" t="s">
        <v>158</v>
      </c>
      <c r="E141" s="79">
        <v>340396</v>
      </c>
      <c r="F141" s="68"/>
      <c r="G141" s="71">
        <f>SUM(E130:E141)</f>
        <v>2187836</v>
      </c>
      <c r="H141" s="3"/>
    </row>
    <row r="142" spans="2:11" ht="12.75" outlineLevel="1" thickBot="1">
      <c r="B142" s="34" t="s">
        <v>14</v>
      </c>
      <c r="C142" s="64"/>
      <c r="D142" s="56"/>
      <c r="E142" s="55"/>
      <c r="F142" s="35">
        <f>SUM(F8:F141)</f>
        <v>57079395</v>
      </c>
      <c r="G142" s="35">
        <f>SUM(G8:G141)</f>
        <v>63283632</v>
      </c>
      <c r="H142" s="3"/>
      <c r="I142" s="3"/>
      <c r="K142" s="3"/>
    </row>
    <row r="143" spans="2:9" ht="12.75" outlineLevel="1" thickBot="1">
      <c r="B143" s="37" t="s">
        <v>15</v>
      </c>
      <c r="C143" s="56"/>
      <c r="D143" s="54"/>
      <c r="E143" s="36"/>
      <c r="F143" s="36">
        <f>G6</f>
        <v>239599863</v>
      </c>
      <c r="G143" s="36">
        <v>0</v>
      </c>
      <c r="H143" s="3"/>
      <c r="I143" s="3"/>
    </row>
    <row r="144" spans="2:8" ht="12.75" thickBot="1">
      <c r="B144" s="39" t="s">
        <v>16</v>
      </c>
      <c r="C144" s="56"/>
      <c r="D144" s="38"/>
      <c r="E144" s="36"/>
      <c r="F144" s="36">
        <f>SUM(F142:F143)</f>
        <v>296679258</v>
      </c>
      <c r="G144" s="36">
        <f>SUM(G142:G143)</f>
        <v>63283632</v>
      </c>
      <c r="H144" s="3"/>
    </row>
    <row r="145" spans="2:7" ht="12" thickBot="1">
      <c r="B145" s="7"/>
      <c r="C145" s="59"/>
      <c r="D145" s="7"/>
      <c r="E145" s="6"/>
      <c r="F145" s="6"/>
      <c r="G145" s="6"/>
    </row>
    <row r="146" spans="1:8" s="9" customFormat="1" ht="15" customHeight="1" thickBot="1">
      <c r="A146" s="11"/>
      <c r="B146" s="40" t="s">
        <v>178</v>
      </c>
      <c r="C146" s="41"/>
      <c r="D146" s="41"/>
      <c r="E146" s="42">
        <f>F144-G144</f>
        <v>233395626</v>
      </c>
      <c r="F146" s="13" t="s">
        <v>7</v>
      </c>
      <c r="G146"/>
      <c r="H146" s="4"/>
    </row>
    <row r="147" spans="2:7" s="5" customFormat="1" ht="35.25" customHeight="1">
      <c r="B147" s="7"/>
      <c r="D147" s="7"/>
      <c r="E147" s="6"/>
      <c r="F147" s="6"/>
      <c r="G147" s="6"/>
    </row>
    <row r="148" spans="2:7" s="5" customFormat="1" ht="12">
      <c r="B148" s="7"/>
      <c r="D148" s="7"/>
      <c r="E148" s="6"/>
      <c r="F148" s="13"/>
      <c r="G148" s="6"/>
    </row>
    <row r="149" spans="2:7" s="5" customFormat="1" ht="18.75">
      <c r="B149" s="5" t="s">
        <v>179</v>
      </c>
      <c r="D149" s="7"/>
      <c r="E149" s="6"/>
      <c r="F149" s="93" t="s">
        <v>92</v>
      </c>
      <c r="G149" s="6"/>
    </row>
    <row r="150" spans="4:7" s="5" customFormat="1" ht="15" customHeight="1">
      <c r="D150" s="12"/>
      <c r="E150" s="14"/>
      <c r="F150" s="13"/>
      <c r="G150" s="13"/>
    </row>
    <row r="151" spans="5:7" s="5" customFormat="1" ht="15" customHeight="1">
      <c r="E151" s="8"/>
      <c r="F151" s="6"/>
      <c r="G151" s="6"/>
    </row>
    <row r="152" spans="3:6" ht="11.25">
      <c r="C152" s="5"/>
      <c r="F152" s="3"/>
    </row>
    <row r="153" spans="3:5" ht="11.25">
      <c r="C153" s="5"/>
      <c r="E153" s="3"/>
    </row>
    <row r="154" ht="11.25">
      <c r="C154" s="5"/>
    </row>
    <row r="155" ht="11.25">
      <c r="C155" s="5"/>
    </row>
    <row r="156" ht="11.25">
      <c r="C156" s="5"/>
    </row>
    <row r="157" ht="11.25">
      <c r="C157" s="5"/>
    </row>
    <row r="158" ht="11.25">
      <c r="C158" s="5"/>
    </row>
    <row r="159" ht="11.25">
      <c r="C159" s="5"/>
    </row>
  </sheetData>
  <sheetProtection/>
  <autoFilter ref="E4:E160"/>
  <printOptions horizontalCentered="1"/>
  <pageMargins left="0.3937007874015748" right="0.3937007874015748" top="0.41" bottom="0.47" header="0" footer="0"/>
  <pageSetup horizontalDpi="600" verticalDpi="600" orientation="landscape" paperSize="9" r:id="rId4"/>
  <rowBreaks count="1" manualBreakCount="1">
    <brk id="4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1" ht="12.75"/>
    <row r="2" ht="12.75"/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50" t="s">
        <v>53</v>
      </c>
      <c r="C6" s="50" t="s">
        <v>33</v>
      </c>
      <c r="D6" s="50"/>
      <c r="E6" s="47" t="s">
        <v>49</v>
      </c>
    </row>
    <row r="7" spans="2:5" s="5" customFormat="1" ht="15" customHeight="1">
      <c r="B7" s="24" t="s">
        <v>34</v>
      </c>
      <c r="C7" s="32">
        <f>84</f>
        <v>84</v>
      </c>
      <c r="D7" s="70">
        <f>462000</f>
        <v>462000</v>
      </c>
      <c r="E7" s="43">
        <f>378400+4300+378400+4300</f>
        <v>765400</v>
      </c>
    </row>
    <row r="8" spans="2:5" s="5" customFormat="1" ht="15" customHeight="1">
      <c r="B8" s="24" t="s">
        <v>29</v>
      </c>
      <c r="C8" s="32">
        <f>107+1</f>
        <v>108</v>
      </c>
      <c r="D8" s="70">
        <f>588500+2120</f>
        <v>590620</v>
      </c>
      <c r="E8" s="43">
        <f>533200+8600</f>
        <v>541800</v>
      </c>
    </row>
    <row r="9" spans="2:5" s="5" customFormat="1" ht="15" customHeight="1">
      <c r="B9" s="24" t="s">
        <v>32</v>
      </c>
      <c r="C9" s="32">
        <f>1+241</f>
        <v>242</v>
      </c>
      <c r="D9" s="70">
        <f>4400+1325500</f>
        <v>1329900</v>
      </c>
      <c r="E9" s="43">
        <f>838500+8600+834200+8600</f>
        <v>1689900</v>
      </c>
    </row>
    <row r="10" spans="2:5" s="5" customFormat="1" ht="15" customHeight="1">
      <c r="B10" s="24" t="s">
        <v>35</v>
      </c>
      <c r="C10" s="32">
        <f>164</f>
        <v>164</v>
      </c>
      <c r="D10" s="70">
        <f>902000</f>
        <v>902000</v>
      </c>
      <c r="E10" s="43">
        <v>0</v>
      </c>
    </row>
    <row r="11" spans="2:5" s="5" customFormat="1" ht="15" customHeight="1">
      <c r="B11" s="24" t="s">
        <v>27</v>
      </c>
      <c r="C11" s="32">
        <f>170</f>
        <v>170</v>
      </c>
      <c r="D11" s="70">
        <f>935000</f>
        <v>935000</v>
      </c>
      <c r="E11" s="43">
        <f>8600+967500</f>
        <v>976100</v>
      </c>
    </row>
    <row r="12" spans="2:5" s="5" customFormat="1" ht="15" customHeight="1">
      <c r="B12" s="24" t="s">
        <v>36</v>
      </c>
      <c r="C12" s="32">
        <f>1+472</f>
        <v>473</v>
      </c>
      <c r="D12" s="70">
        <f>2200+2596000</f>
        <v>2598200</v>
      </c>
      <c r="E12" s="43">
        <f>17200+223100+8600+8600</f>
        <v>257500</v>
      </c>
    </row>
    <row r="13" spans="2:5" s="5" customFormat="1" ht="15" customHeight="1">
      <c r="B13" s="24" t="s">
        <v>37</v>
      </c>
      <c r="C13" s="32">
        <f>1+1+1+1+571</f>
        <v>575</v>
      </c>
      <c r="D13" s="70">
        <f>2200+2120+2200+2200+3140500</f>
        <v>3149220</v>
      </c>
      <c r="E13" s="43">
        <f>3457200+30100+3990</f>
        <v>3491290</v>
      </c>
    </row>
    <row r="14" spans="2:5" s="5" customFormat="1" ht="15" customHeight="1">
      <c r="B14" s="24" t="s">
        <v>38</v>
      </c>
      <c r="C14" s="32">
        <v>80</v>
      </c>
      <c r="D14" s="70">
        <v>440000</v>
      </c>
      <c r="E14" s="43">
        <f>8600+602000+593400</f>
        <v>1204000</v>
      </c>
    </row>
    <row r="15" spans="2:5" s="5" customFormat="1" ht="15" customHeight="1">
      <c r="B15" s="24" t="s">
        <v>25</v>
      </c>
      <c r="C15" s="32">
        <f>163</f>
        <v>163</v>
      </c>
      <c r="D15" s="70">
        <f>896500</f>
        <v>896500</v>
      </c>
      <c r="E15" s="43">
        <f>640700+653600</f>
        <v>1294300</v>
      </c>
    </row>
    <row r="16" spans="2:5" s="5" customFormat="1" ht="15" customHeight="1">
      <c r="B16" s="24" t="s">
        <v>39</v>
      </c>
      <c r="C16" s="32">
        <f>403+1</f>
        <v>404</v>
      </c>
      <c r="D16" s="70">
        <f>2216500+5500</f>
        <v>2222000</v>
      </c>
      <c r="E16" s="43">
        <f>1797400+8600</f>
        <v>1806000</v>
      </c>
    </row>
    <row r="17" spans="2:5" s="5" customFormat="1" ht="15" customHeight="1">
      <c r="B17" s="24" t="s">
        <v>40</v>
      </c>
      <c r="C17" s="32">
        <f>1+153</f>
        <v>154</v>
      </c>
      <c r="D17" s="70">
        <f>2200+841500</f>
        <v>843700</v>
      </c>
      <c r="E17" s="43">
        <v>774000</v>
      </c>
    </row>
    <row r="18" spans="2:5" s="5" customFormat="1" ht="15" customHeight="1">
      <c r="B18" s="24" t="s">
        <v>41</v>
      </c>
      <c r="C18" s="32">
        <f>324+1+1</f>
        <v>326</v>
      </c>
      <c r="D18" s="70">
        <f>1782000+3000+2200</f>
        <v>1787200</v>
      </c>
      <c r="E18" s="43">
        <f>1427290</f>
        <v>1427290</v>
      </c>
    </row>
    <row r="19" spans="2:5" s="5" customFormat="1" ht="15" customHeight="1">
      <c r="B19" s="24" t="s">
        <v>24</v>
      </c>
      <c r="C19" s="32">
        <f>99</f>
        <v>99</v>
      </c>
      <c r="D19" s="70">
        <f>544500</f>
        <v>544500</v>
      </c>
      <c r="E19" s="43">
        <v>442900</v>
      </c>
    </row>
    <row r="20" spans="2:5" s="5" customFormat="1" ht="15" customHeight="1">
      <c r="B20" s="24" t="s">
        <v>42</v>
      </c>
      <c r="C20" s="32">
        <f>1+429</f>
        <v>430</v>
      </c>
      <c r="D20" s="70">
        <f>2200+2359500</f>
        <v>2361700</v>
      </c>
      <c r="E20" s="43">
        <f>1720+12900+2128500</f>
        <v>2143120</v>
      </c>
    </row>
    <row r="21" spans="2:5" s="5" customFormat="1" ht="15" customHeight="1">
      <c r="B21" s="24" t="s">
        <v>30</v>
      </c>
      <c r="C21" s="32">
        <f>278+1</f>
        <v>279</v>
      </c>
      <c r="D21" s="70">
        <f>1529000+7000</f>
        <v>1536000</v>
      </c>
      <c r="E21" s="43">
        <f>7740+1388900+12900+1596</f>
        <v>1411136</v>
      </c>
    </row>
    <row r="22" spans="2:5" s="5" customFormat="1" ht="15" customHeight="1">
      <c r="B22" s="24" t="s">
        <v>43</v>
      </c>
      <c r="C22" s="32">
        <f>219+1</f>
        <v>220</v>
      </c>
      <c r="D22" s="70">
        <f>1204500+5000</f>
        <v>1209500</v>
      </c>
      <c r="E22" s="43">
        <f>12900+924500+4300</f>
        <v>941700</v>
      </c>
    </row>
    <row r="23" spans="2:5" s="5" customFormat="1" ht="15" customHeight="1">
      <c r="B23" s="24" t="s">
        <v>31</v>
      </c>
      <c r="C23" s="32">
        <f>205</f>
        <v>205</v>
      </c>
      <c r="D23" s="70">
        <v>1127500</v>
      </c>
      <c r="E23" s="43">
        <f>645000</f>
        <v>645000</v>
      </c>
    </row>
    <row r="24" spans="2:5" s="5" customFormat="1" ht="15" customHeight="1">
      <c r="B24" s="24" t="s">
        <v>44</v>
      </c>
      <c r="C24" s="32">
        <f>128</f>
        <v>128</v>
      </c>
      <c r="D24" s="70">
        <f>704000</f>
        <v>704000</v>
      </c>
      <c r="E24" s="43">
        <f>4300+520300</f>
        <v>524600</v>
      </c>
    </row>
    <row r="25" spans="2:5" s="5" customFormat="1" ht="15" customHeight="1" thickBot="1">
      <c r="B25" s="24" t="s">
        <v>45</v>
      </c>
      <c r="C25" s="32">
        <v>114</v>
      </c>
      <c r="D25" s="78">
        <v>627000</v>
      </c>
      <c r="E25" s="44">
        <f>4300+464400</f>
        <v>468700</v>
      </c>
    </row>
    <row r="26" spans="2:5" s="5" customFormat="1" ht="15" customHeight="1" thickBot="1">
      <c r="B26" s="31"/>
      <c r="C26" s="31">
        <f>SUM(C7:C25)</f>
        <v>4418</v>
      </c>
      <c r="D26" s="51">
        <f>SUM(D7:D25)</f>
        <v>24266540</v>
      </c>
      <c r="E26" s="48"/>
    </row>
    <row r="27" spans="2:5" ht="15.75" customHeight="1" hidden="1" thickBot="1">
      <c r="B27" s="45" t="s">
        <v>50</v>
      </c>
      <c r="C27" s="46"/>
      <c r="D27" s="49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3"/>
  <headerFooter alignWithMargins="0">
    <oddHeader>&amp;L&amp;"Book Antiqua,Negrita Cursiva"Asociación Nacional de Empleados 
             Poder Judicial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I26"/>
  <sheetViews>
    <sheetView zoomScalePageLayoutView="0" workbookViewId="0" topLeftCell="A1">
      <selection activeCell="B7" sqref="B7:E25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53" t="s">
        <v>60</v>
      </c>
    </row>
    <row r="5" ht="13.5" thickBot="1"/>
    <row r="6" spans="2:5" s="17" customFormat="1" ht="28.5" customHeight="1" thickBot="1">
      <c r="B6" s="94" t="s">
        <v>54</v>
      </c>
      <c r="C6" s="99" t="s">
        <v>55</v>
      </c>
      <c r="D6" s="52" t="s">
        <v>56</v>
      </c>
      <c r="E6" s="104" t="s">
        <v>82</v>
      </c>
    </row>
    <row r="7" spans="2:5" s="5" customFormat="1" ht="15" customHeight="1" thickTop="1">
      <c r="B7" s="96"/>
      <c r="C7" s="101"/>
      <c r="D7"/>
      <c r="E7" s="101"/>
    </row>
    <row r="8" spans="2:5" s="5" customFormat="1" ht="15" customHeight="1">
      <c r="B8" s="97"/>
      <c r="C8" s="102"/>
      <c r="D8"/>
      <c r="E8" s="102"/>
    </row>
    <row r="9" spans="2:5" s="5" customFormat="1" ht="15" customHeight="1">
      <c r="B9" s="97"/>
      <c r="C9" s="102"/>
      <c r="D9"/>
      <c r="E9" s="102"/>
    </row>
    <row r="10" spans="2:5" s="5" customFormat="1" ht="15" customHeight="1">
      <c r="B10" s="97"/>
      <c r="C10" s="102"/>
      <c r="D10"/>
      <c r="E10" s="102"/>
    </row>
    <row r="11" spans="2:5" s="5" customFormat="1" ht="15" customHeight="1">
      <c r="B11" s="97"/>
      <c r="C11" s="102"/>
      <c r="D11"/>
      <c r="E11" s="102"/>
    </row>
    <row r="12" spans="2:5" s="5" customFormat="1" ht="15" customHeight="1">
      <c r="B12" s="97"/>
      <c r="C12" s="102"/>
      <c r="D12"/>
      <c r="E12" s="102"/>
    </row>
    <row r="13" spans="2:5" s="5" customFormat="1" ht="15" customHeight="1">
      <c r="B13" s="97"/>
      <c r="C13" s="102"/>
      <c r="D13"/>
      <c r="E13" s="102"/>
    </row>
    <row r="14" spans="2:5" s="5" customFormat="1" ht="15" customHeight="1">
      <c r="B14" s="97"/>
      <c r="C14" s="102"/>
      <c r="D14"/>
      <c r="E14" s="102"/>
    </row>
    <row r="15" spans="2:5" s="5" customFormat="1" ht="15" customHeight="1">
      <c r="B15" s="97"/>
      <c r="C15" s="102"/>
      <c r="D15"/>
      <c r="E15" s="102"/>
    </row>
    <row r="16" spans="2:5" s="5" customFormat="1" ht="15" customHeight="1">
      <c r="B16" s="97"/>
      <c r="C16" s="102"/>
      <c r="D16"/>
      <c r="E16" s="102"/>
    </row>
    <row r="17" spans="2:5" s="5" customFormat="1" ht="15" customHeight="1">
      <c r="B17" s="97"/>
      <c r="C17" s="102"/>
      <c r="D17"/>
      <c r="E17" s="102"/>
    </row>
    <row r="18" spans="2:5" s="5" customFormat="1" ht="15" customHeight="1">
      <c r="B18" s="97"/>
      <c r="C18" s="102"/>
      <c r="D18"/>
      <c r="E18" s="102"/>
    </row>
    <row r="19" spans="2:5" s="5" customFormat="1" ht="15" customHeight="1">
      <c r="B19" s="97"/>
      <c r="C19" s="102"/>
      <c r="D19"/>
      <c r="E19" s="102"/>
    </row>
    <row r="20" spans="2:5" s="5" customFormat="1" ht="15" customHeight="1">
      <c r="B20" s="97"/>
      <c r="C20" s="102"/>
      <c r="D20"/>
      <c r="E20" s="102"/>
    </row>
    <row r="21" spans="2:5" s="5" customFormat="1" ht="15" customHeight="1">
      <c r="B21" s="97"/>
      <c r="C21" s="102"/>
      <c r="D21"/>
      <c r="E21" s="102"/>
    </row>
    <row r="22" spans="2:5" s="5" customFormat="1" ht="15" customHeight="1">
      <c r="B22" s="97"/>
      <c r="C22" s="102"/>
      <c r="D22"/>
      <c r="E22" s="102"/>
    </row>
    <row r="23" spans="2:5" s="5" customFormat="1" ht="15" customHeight="1">
      <c r="B23" s="97"/>
      <c r="C23" s="102"/>
      <c r="D23"/>
      <c r="E23" s="102"/>
    </row>
    <row r="24" spans="2:5" s="5" customFormat="1" ht="15" customHeight="1">
      <c r="B24" s="97"/>
      <c r="C24" s="102"/>
      <c r="D24"/>
      <c r="E24" s="102"/>
    </row>
    <row r="25" spans="2:5" s="5" customFormat="1" ht="15" customHeight="1" thickBot="1">
      <c r="B25" s="98"/>
      <c r="C25" s="103"/>
      <c r="D25"/>
      <c r="E25" s="103"/>
    </row>
    <row r="26" spans="2:9" s="5" customFormat="1" ht="15" customHeight="1" thickBot="1" thickTop="1">
      <c r="B26" s="95"/>
      <c r="C26" s="100"/>
      <c r="D26" s="60">
        <f>SUM(D7:D25)</f>
        <v>0</v>
      </c>
      <c r="E26" s="100"/>
      <c r="I26" s="5" t="s">
        <v>80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Cristian</cp:lastModifiedBy>
  <cp:lastPrinted>2021-03-22T17:22:36Z</cp:lastPrinted>
  <dcterms:created xsi:type="dcterms:W3CDTF">2000-09-21T06:07:13Z</dcterms:created>
  <dcterms:modified xsi:type="dcterms:W3CDTF">2021-03-23T14:10:39Z</dcterms:modified>
  <cp:category/>
  <cp:version/>
  <cp:contentType/>
  <cp:contentStatus/>
</cp:coreProperties>
</file>