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60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'informe'!$E$4:$E$172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<sst xmlns="http://schemas.openxmlformats.org/spreadsheetml/2006/main" count="279" uniqueCount="198">
  <si>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</si>
  <si>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</si>
  <si>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</si>
  <si>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</si>
  <si>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</si>
  <si>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</si>
  <si>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</si>
  <si>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</si>
  <si>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</si>
  <si>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</si>
  <si>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</si>
  <si>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</si>
  <si>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</si>
  <si>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</si>
  <si>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</si>
  <si>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</si>
  <si>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</si>
  <si>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</si>
  <si>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</si>
  <si>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</si>
  <si>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</si>
  <si>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</si>
  <si>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</si>
  <si>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</si>
  <si>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</si>
  <si>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</si>
  <si>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</si>
  <si>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</si>
  <si>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</si>
  <si>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</si>
  <si>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</si>
  <si>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</si>
  <si>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</si>
  <si>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</si>
  <si>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</si>
  <si>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</si>
  <si>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</si>
  <si>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</si>
  <si>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</si>
  <si>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</si>
  <si>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</si>
  <si>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</si>
  <si>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</si>
  <si>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</si>
  <si>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</si>
  <si>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</si>
  <si>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</si>
  <si>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</si>
  <si>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</si>
  <si>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</si>
  <si>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</si>
  <si>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</si>
  <si>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</si>
  <si>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</si>
  <si>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</si>
  <si>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</si>
  <si>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</si>
  <si>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</si>
  <si>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</si>
  <si>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</si>
  <si>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</si>
  <si>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</si>
  <si>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</si>
  <si>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</si>
  <si>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</si>
  <si>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</si>
  <si>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</si>
  <si>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</si>
  <si>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</si>
  <si>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</si>
  <si>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AFP HABITAT</t>
  </si>
  <si>
    <t>AFP MODELO</t>
  </si>
  <si>
    <t xml:space="preserve"> ,</t>
  </si>
  <si>
    <t>N° VALE</t>
  </si>
  <si>
    <t>CYNTHIA PAIRO</t>
  </si>
  <si>
    <t>ANA CANEO</t>
  </si>
  <si>
    <t>AGUAS ANDINAS</t>
  </si>
  <si>
    <t>ISAPRE CRUZ BLANCA</t>
  </si>
  <si>
    <t>ISAPRE CONSALUD</t>
  </si>
  <si>
    <t xml:space="preserve">           Tesorería Nacional</t>
  </si>
  <si>
    <t>REGIONAL MALLECO CAUTIN</t>
  </si>
  <si>
    <t>JULIO HORMAZABAL</t>
  </si>
  <si>
    <t>DIRECTV</t>
  </si>
  <si>
    <t>RICARDO ALVAREZ</t>
  </si>
  <si>
    <t>REGIONAL VALDIVIA</t>
  </si>
  <si>
    <t>CARLOS CACERES</t>
  </si>
  <si>
    <t xml:space="preserve">JULIETA VEGA </t>
  </si>
  <si>
    <t>ISABEL MALDONADO</t>
  </si>
  <si>
    <t>MARIANELA HERRERA</t>
  </si>
  <si>
    <t>JUAN VILLAR</t>
  </si>
  <si>
    <t>KARIN MENDOZA</t>
  </si>
  <si>
    <t>ELIANA ORTIZ</t>
  </si>
  <si>
    <t>LEONOR DROGUETT</t>
  </si>
  <si>
    <t>AMADEO GNECCO</t>
  </si>
  <si>
    <t>ISAPRE COLMENA</t>
  </si>
  <si>
    <t>GUILLERMO AGUILAR</t>
  </si>
  <si>
    <t>REGIONAL ACONCAGUA</t>
  </si>
  <si>
    <t>VICTOR SALAZAR</t>
  </si>
  <si>
    <t>CHILQUINTA S.A.</t>
  </si>
  <si>
    <t>SERVIPAG</t>
  </si>
  <si>
    <t>NAYARET QUEVEDO</t>
  </si>
  <si>
    <t>CYNTHIA PAIRO BOLAÑOS</t>
  </si>
  <si>
    <t>COÑARIPE</t>
  </si>
  <si>
    <t>SAMUEL VALDERRAMA</t>
  </si>
  <si>
    <t>METLIFE SEGUROS</t>
  </si>
  <si>
    <t>COMITÉ DE AGUA POTABLE MEHUIN</t>
  </si>
  <si>
    <t>CLAUDIO BRIONES</t>
  </si>
  <si>
    <t>HOGAR</t>
  </si>
  <si>
    <t xml:space="preserve">SUELDOS </t>
  </si>
  <si>
    <t>CHRISTIAN GUIÑEZ</t>
  </si>
  <si>
    <t>REGIONAL PUERTO MONTT</t>
  </si>
  <si>
    <t>CYNTHIA  PAIRO</t>
  </si>
  <si>
    <t>REGIONAL TEMUCO</t>
  </si>
  <si>
    <t xml:space="preserve">Depósito cotizaciones </t>
  </si>
  <si>
    <t>Estadía</t>
  </si>
  <si>
    <t>CRISTINA GUESALAGA</t>
  </si>
  <si>
    <t>Descuento no efectuado enero</t>
  </si>
  <si>
    <t>Descuento febrero</t>
  </si>
  <si>
    <t>MEHUIN</t>
  </si>
  <si>
    <t>VICTOR GALLEGOS</t>
  </si>
  <si>
    <t>Descuento no efectuado enero y febrero</t>
  </si>
  <si>
    <t>Consumo luz Coñaripe y Mehuin enero</t>
  </si>
  <si>
    <t>Mantención Calefont Coñaripe</t>
  </si>
  <si>
    <t>CARLOS VERDUGO</t>
  </si>
  <si>
    <t>Servicios audiovisulaes enero</t>
  </si>
  <si>
    <t>MARIA HUENULLAN</t>
  </si>
  <si>
    <t>Pasaje Isabel Maldonado</t>
  </si>
  <si>
    <t>MARIO SALAZAR</t>
  </si>
  <si>
    <t>ALVARO PARDOW</t>
  </si>
  <si>
    <t>Servicio web enero</t>
  </si>
  <si>
    <t>CRISTINA SILVA</t>
  </si>
  <si>
    <t xml:space="preserve">Pagos convenio Regional </t>
  </si>
  <si>
    <t>Tv Cable</t>
  </si>
  <si>
    <t>REGIONAL CONCEPCION</t>
  </si>
  <si>
    <t>Pasaje Karin Mendoza</t>
  </si>
  <si>
    <t>Gas coñaripe</t>
  </si>
  <si>
    <t>Rectificatoria junio y noviembre 2021</t>
  </si>
  <si>
    <t>Consumo luz</t>
  </si>
  <si>
    <t>Reemplazo encargado enero</t>
  </si>
  <si>
    <t>Mantención cabaña Coñaripe enero y febrero</t>
  </si>
  <si>
    <t>Desayunos directores</t>
  </si>
  <si>
    <t>Recarga Directv</t>
  </si>
  <si>
    <t>Devolucion diferencia deposito descuento Reg. Valdivia</t>
  </si>
  <si>
    <t>CRISTINA SAN MARTIN</t>
  </si>
  <si>
    <t>Envios flayer a Regionales</t>
  </si>
  <si>
    <t>Asesoria Juridica</t>
  </si>
  <si>
    <t>Telefono e internet Secretaria y Hogar</t>
  </si>
  <si>
    <t>Articulos aseo Mehuin</t>
  </si>
  <si>
    <t>Reembolso gastos reuniones varias</t>
  </si>
  <si>
    <t>MARTIN NANCO</t>
  </si>
  <si>
    <t>Cuota mortuoria</t>
  </si>
  <si>
    <t>ROBERTO AGUILAR</t>
  </si>
  <si>
    <t>Mantención camara y cooler Loncura</t>
  </si>
  <si>
    <t>Asesoria enero</t>
  </si>
  <si>
    <t>Pago cotizaciones enero</t>
  </si>
  <si>
    <t>Saldo instalación thermo  e Instalacion Pinchos</t>
  </si>
  <si>
    <t>Compra parrillas Mehuin</t>
  </si>
  <si>
    <t>Retención 10% y imptos. Unico enero</t>
  </si>
  <si>
    <t>Seguro vida Directores enero</t>
  </si>
  <si>
    <t>Pago celular institucional</t>
  </si>
  <si>
    <t>Gas Mehuin</t>
  </si>
  <si>
    <t>Mantención y limpieza alfombras</t>
  </si>
  <si>
    <t>Pago celular Gema Aguila</t>
  </si>
  <si>
    <t>Reembolso gastos encuentro gremial y otros</t>
  </si>
  <si>
    <t>Compra 2 diarios publicacion convocatoria Convención</t>
  </si>
  <si>
    <t>Telefono Tesoreria</t>
  </si>
  <si>
    <t>ISP</t>
  </si>
  <si>
    <t>Consumo Agua</t>
  </si>
  <si>
    <t>Gtos aplicación zoom enero y Febrero</t>
  </si>
  <si>
    <t>Corte pasto Mehuin</t>
  </si>
  <si>
    <t>JOSE JELDRES</t>
  </si>
  <si>
    <t>Consumo Luz Loncura</t>
  </si>
  <si>
    <t>Mantención cabaña Coñaripe febrero</t>
  </si>
  <si>
    <t>2da Convocatoria Convención</t>
  </si>
  <si>
    <t>1era Convocatoria Convención</t>
  </si>
  <si>
    <t>Febrero</t>
  </si>
  <si>
    <t>Asesoria directorio enero y febrero</t>
  </si>
  <si>
    <t>Telefono y Celular Yehimy</t>
  </si>
  <si>
    <t>50% internet teletrabajo febrero</t>
  </si>
  <si>
    <t>Viático celular febrero</t>
  </si>
  <si>
    <t>REGIONAL ARICA</t>
  </si>
  <si>
    <t>Devolución cuota social María Obregón</t>
  </si>
  <si>
    <t>50% internet y celular teletrabajo febrero</t>
  </si>
  <si>
    <t>Mantención cabaña Mehuin febrero</t>
  </si>
  <si>
    <t>Aseo y mantención febrero</t>
  </si>
  <si>
    <t>Compra juego servicio Mehuin</t>
  </si>
  <si>
    <t>Mantención Jardin Loncura febrero</t>
  </si>
  <si>
    <t>Devolución diferencia decuentos Corporación</t>
  </si>
  <si>
    <t>Devolución deposito erroneo</t>
  </si>
  <si>
    <t>HILDA NOVOA</t>
  </si>
  <si>
    <t>Cuotas sociales enero 2020 a marzo 2022</t>
  </si>
  <si>
    <t>FEBRERO 2022</t>
  </si>
  <si>
    <t>SALDO EN CTA. CTE. AL 28/02/2022</t>
  </si>
  <si>
    <t>Estadia</t>
  </si>
  <si>
    <t>Enero</t>
  </si>
  <si>
    <t>SANTIAGO,25/03/2022</t>
  </si>
  <si>
    <t>RELACIONES PUBLICAS</t>
  </si>
  <si>
    <t>Consumo agua Mehuin enero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</si>
</sst>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ck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/>
    </xf>
    <xf numFmtId="0" fontId="8" fillId="33" borderId="42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3" xfId="0" applyNumberFormat="1" applyBorder="1" applyAlignment="1">
      <alignment/>
    </xf>
    <xf numFmtId="16" fontId="0" fillId="0" borderId="44" xfId="0" applyNumberFormat="1" applyBorder="1" applyAlignment="1">
      <alignment/>
    </xf>
    <xf numFmtId="16" fontId="0" fillId="0" borderId="45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181" fontId="4" fillId="0" borderId="41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17" fontId="2" fillId="0" borderId="48" xfId="0" applyNumberFormat="1" applyFont="1" applyFill="1" applyBorder="1" applyAlignment="1">
      <alignment/>
    </xf>
    <xf numFmtId="181" fontId="2" fillId="0" borderId="41" xfId="0" applyNumberFormat="1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40" sqref="E140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16</v>
      </c>
      <c r="C4" s="2"/>
      <c r="D4" s="2"/>
      <c r="E4" s="3"/>
      <c r="F4" s="4"/>
      <c r="G4" s="4"/>
    </row>
    <row r="5" spans="2:7" ht="14.25">
      <c r="B5" s="26" t="s">
        <v>191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27</v>
      </c>
      <c r="G6" s="27">
        <v>252809533</v>
      </c>
    </row>
    <row r="7" spans="2:7" ht="24" customHeight="1" thickBot="1">
      <c r="B7" s="75" t="s">
        <v>0</v>
      </c>
      <c r="C7" s="57" t="s">
        <v>32</v>
      </c>
      <c r="D7" s="31" t="s">
        <v>45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23"/>
      <c r="F10" s="30">
        <f>SUM(E11:E29)</f>
        <v>24221220</v>
      </c>
      <c r="G10" s="23"/>
    </row>
    <row r="11" spans="1:7" ht="15" customHeight="1" hidden="1" outlineLevel="2">
      <c r="A11" s="5"/>
      <c r="B11" s="65" t="s">
        <v>33</v>
      </c>
      <c r="C11" s="32">
        <v>81</v>
      </c>
      <c r="D11" s="73"/>
      <c r="E11" s="70">
        <v>465750</v>
      </c>
      <c r="F11" s="6"/>
      <c r="G11" s="23"/>
    </row>
    <row r="12" spans="1:7" ht="15" customHeight="1" hidden="1" outlineLevel="2">
      <c r="A12" s="5"/>
      <c r="B12" s="65" t="s">
        <v>28</v>
      </c>
      <c r="C12" s="32">
        <v>105</v>
      </c>
      <c r="D12" s="73"/>
      <c r="E12" s="70">
        <f>603750</f>
        <v>603750</v>
      </c>
      <c r="F12" s="6"/>
      <c r="G12" s="23"/>
    </row>
    <row r="13" spans="1:7" ht="15" customHeight="1" hidden="1" outlineLevel="2">
      <c r="A13" s="5"/>
      <c r="B13" s="65" t="s">
        <v>31</v>
      </c>
      <c r="C13" s="32">
        <v>226</v>
      </c>
      <c r="D13" s="73"/>
      <c r="E13" s="70">
        <v>1299500</v>
      </c>
      <c r="F13" s="6"/>
      <c r="G13" s="23"/>
    </row>
    <row r="14" spans="1:7" ht="15" customHeight="1" hidden="1" outlineLevel="2">
      <c r="A14" s="5"/>
      <c r="B14" s="65" t="s">
        <v>34</v>
      </c>
      <c r="C14" s="32">
        <f>155</f>
        <v>155</v>
      </c>
      <c r="D14" s="73"/>
      <c r="E14" s="70">
        <f>891250</f>
        <v>891250</v>
      </c>
      <c r="F14" s="6"/>
      <c r="G14" s="23"/>
    </row>
    <row r="15" spans="1:7" ht="15" customHeight="1" hidden="1" outlineLevel="2">
      <c r="A15" s="5"/>
      <c r="B15" s="65" t="s">
        <v>26</v>
      </c>
      <c r="C15" s="32">
        <v>156</v>
      </c>
      <c r="D15" s="73"/>
      <c r="E15" s="70">
        <v>897000</v>
      </c>
      <c r="F15" s="6"/>
      <c r="G15" s="23"/>
    </row>
    <row r="16" spans="1:7" ht="15" customHeight="1" hidden="1" outlineLevel="2">
      <c r="A16" s="5"/>
      <c r="B16" s="65" t="s">
        <v>35</v>
      </c>
      <c r="C16" s="32">
        <f>1+1+1+1+453+1</f>
        <v>458</v>
      </c>
      <c r="D16" s="73"/>
      <c r="E16" s="70">
        <f>2200+5750+3300+2604750</f>
        <v>2616000</v>
      </c>
      <c r="F16" s="6"/>
      <c r="G16" s="23"/>
    </row>
    <row r="17" spans="1:7" ht="15" customHeight="1" hidden="1" outlineLevel="2">
      <c r="A17" s="5"/>
      <c r="B17" s="65" t="s">
        <v>36</v>
      </c>
      <c r="C17" s="32">
        <f>1+1+1+1+1+1+528+1</f>
        <v>535</v>
      </c>
      <c r="D17" s="73"/>
      <c r="E17" s="70">
        <f>23000+2120+11500+25300+3200+2200+3030250+27600+27600</f>
        <v>3152770</v>
      </c>
      <c r="F17" s="6"/>
      <c r="G17" s="23"/>
    </row>
    <row r="18" spans="1:7" ht="15" customHeight="1" hidden="1" outlineLevel="2">
      <c r="A18" s="5"/>
      <c r="B18" s="65" t="s">
        <v>37</v>
      </c>
      <c r="C18" s="32">
        <v>72</v>
      </c>
      <c r="D18" s="73"/>
      <c r="E18" s="70">
        <v>408250</v>
      </c>
      <c r="F18" s="6"/>
      <c r="G18" s="23"/>
    </row>
    <row r="19" spans="1:7" ht="15" customHeight="1" hidden="1" outlineLevel="2">
      <c r="A19" s="5"/>
      <c r="B19" s="65" t="s">
        <v>24</v>
      </c>
      <c r="C19" s="32">
        <f>1+160+1</f>
        <v>162</v>
      </c>
      <c r="D19" s="73"/>
      <c r="E19" s="70">
        <f>2300+920000</f>
        <v>922300</v>
      </c>
      <c r="F19" s="6"/>
      <c r="G19" s="23"/>
    </row>
    <row r="20" spans="1:7" ht="15" customHeight="1" hidden="1" outlineLevel="2">
      <c r="A20" s="5"/>
      <c r="B20" s="65" t="s">
        <v>38</v>
      </c>
      <c r="C20" s="32">
        <f>1+1+366+1+1+1</f>
        <v>371</v>
      </c>
      <c r="D20" s="73"/>
      <c r="E20" s="70">
        <f>2200+26400+2104500+4900+2300</f>
        <v>2140300</v>
      </c>
      <c r="F20" s="6"/>
      <c r="G20" s="23"/>
    </row>
    <row r="21" spans="1:7" ht="15" customHeight="1" hidden="1" outlineLevel="2">
      <c r="A21" s="5"/>
      <c r="B21" s="65" t="s">
        <v>39</v>
      </c>
      <c r="C21" s="32">
        <f>1+148+1</f>
        <v>150</v>
      </c>
      <c r="D21" s="73"/>
      <c r="E21" s="70">
        <f>2200+875500+2200</f>
        <v>879900</v>
      </c>
      <c r="F21" s="6"/>
      <c r="G21" s="23"/>
    </row>
    <row r="22" spans="1:7" ht="15" customHeight="1" hidden="1" outlineLevel="2">
      <c r="A22" s="5"/>
      <c r="B22" s="65" t="s">
        <v>40</v>
      </c>
      <c r="C22" s="32">
        <f>305</f>
        <v>305</v>
      </c>
      <c r="D22" s="73"/>
      <c r="E22" s="70">
        <f>1753750</f>
        <v>1753750</v>
      </c>
      <c r="F22" s="6"/>
      <c r="G22" s="23"/>
    </row>
    <row r="23" spans="1:7" ht="15" customHeight="1" hidden="1" outlineLevel="2">
      <c r="A23" s="5"/>
      <c r="B23" s="65" t="s">
        <v>23</v>
      </c>
      <c r="C23" s="32">
        <v>100</v>
      </c>
      <c r="D23" s="73"/>
      <c r="E23" s="70">
        <v>575000</v>
      </c>
      <c r="F23" s="6"/>
      <c r="G23" s="23"/>
    </row>
    <row r="24" spans="1:7" ht="15" customHeight="1" hidden="1" outlineLevel="2">
      <c r="A24" s="5"/>
      <c r="B24" s="65" t="s">
        <v>41</v>
      </c>
      <c r="C24" s="32">
        <f>1+1+405</f>
        <v>407</v>
      </c>
      <c r="D24" s="73" t="s">
        <v>7</v>
      </c>
      <c r="E24" s="70">
        <f>2200+2328750</f>
        <v>2330950</v>
      </c>
      <c r="F24" s="6"/>
      <c r="G24" s="23"/>
    </row>
    <row r="25" spans="1:7" ht="15" customHeight="1" hidden="1" outlineLevel="2">
      <c r="A25" s="5"/>
      <c r="B25" s="65" t="s">
        <v>29</v>
      </c>
      <c r="C25" s="32">
        <f>268+1</f>
        <v>269</v>
      </c>
      <c r="D25" s="73"/>
      <c r="E25" s="70">
        <f>1541000+7000</f>
        <v>1548000</v>
      </c>
      <c r="F25" s="6"/>
      <c r="G25" s="23"/>
    </row>
    <row r="26" spans="1:7" ht="15" customHeight="1" hidden="1" outlineLevel="2">
      <c r="A26" s="5"/>
      <c r="B26" s="65" t="s">
        <v>42</v>
      </c>
      <c r="C26" s="32">
        <f>1+210</f>
        <v>211</v>
      </c>
      <c r="D26" s="73"/>
      <c r="E26" s="70">
        <f>5000+1207500</f>
        <v>1212500</v>
      </c>
      <c r="F26" s="6"/>
      <c r="G26" s="23"/>
    </row>
    <row r="27" spans="1:7" ht="15" customHeight="1" hidden="1" outlineLevel="2">
      <c r="A27" s="5"/>
      <c r="B27" s="65" t="s">
        <v>30</v>
      </c>
      <c r="C27" s="32">
        <f>202</f>
        <v>202</v>
      </c>
      <c r="D27" s="73"/>
      <c r="E27" s="70">
        <f>1161500</f>
        <v>1161500</v>
      </c>
      <c r="F27" s="6"/>
      <c r="G27" s="23"/>
    </row>
    <row r="28" spans="1:7" ht="15" customHeight="1" hidden="1" outlineLevel="2">
      <c r="A28" s="5"/>
      <c r="B28" s="65" t="s">
        <v>43</v>
      </c>
      <c r="C28" s="32">
        <v>122</v>
      </c>
      <c r="D28" s="73"/>
      <c r="E28" s="70">
        <v>701500</v>
      </c>
      <c r="F28" s="6"/>
      <c r="G28" s="23"/>
    </row>
    <row r="29" spans="1:7" ht="14.25" customHeight="1" hidden="1" outlineLevel="2">
      <c r="A29" s="5"/>
      <c r="B29" s="65" t="s">
        <v>44</v>
      </c>
      <c r="C29" s="32">
        <f>115</f>
        <v>115</v>
      </c>
      <c r="D29" s="73"/>
      <c r="E29" s="78">
        <v>661250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107</v>
      </c>
      <c r="C32" s="11"/>
      <c r="D32" s="5" t="s">
        <v>193</v>
      </c>
      <c r="E32" s="70">
        <f>180000+10000+18000+10000+17500+70000+5000+40000+20000+33333+30000</f>
        <v>433833</v>
      </c>
      <c r="F32" s="6"/>
      <c r="G32" s="23"/>
    </row>
    <row r="33" spans="1:7" ht="15" customHeight="1" outlineLevel="2">
      <c r="A33" s="5"/>
      <c r="B33" s="65" t="s">
        <v>96</v>
      </c>
      <c r="C33" s="32"/>
      <c r="D33" s="5" t="s">
        <v>117</v>
      </c>
      <c r="E33" s="70">
        <v>14934081</v>
      </c>
      <c r="F33" s="6"/>
      <c r="G33" s="23"/>
    </row>
    <row r="34" spans="1:7" ht="15" customHeight="1" outlineLevel="2">
      <c r="A34" s="5"/>
      <c r="B34" s="65" t="s">
        <v>112</v>
      </c>
      <c r="C34" s="32"/>
      <c r="D34" s="5" t="s">
        <v>113</v>
      </c>
      <c r="E34" s="70">
        <v>163152</v>
      </c>
      <c r="F34" s="6"/>
      <c r="G34" s="23"/>
    </row>
    <row r="35" spans="1:7" ht="15" customHeight="1" outlineLevel="2">
      <c r="A35" s="5"/>
      <c r="B35" s="65" t="s">
        <v>189</v>
      </c>
      <c r="C35" s="32"/>
      <c r="D35" s="5" t="s">
        <v>190</v>
      </c>
      <c r="E35" s="70">
        <v>151000</v>
      </c>
      <c r="F35" s="6"/>
      <c r="G35" s="23"/>
    </row>
    <row r="36" spans="1:7" ht="15" customHeight="1" outlineLevel="2">
      <c r="A36" s="5"/>
      <c r="B36" s="65" t="s">
        <v>111</v>
      </c>
      <c r="C36" s="32"/>
      <c r="D36" s="5" t="s">
        <v>188</v>
      </c>
      <c r="E36" s="70">
        <v>30000</v>
      </c>
      <c r="F36" s="6"/>
      <c r="G36" s="23"/>
    </row>
    <row r="37" spans="1:7" ht="15" customHeight="1" outlineLevel="2">
      <c r="A37" s="5"/>
      <c r="B37" s="65" t="s">
        <v>84</v>
      </c>
      <c r="C37" s="32"/>
      <c r="D37" s="5" t="s">
        <v>117</v>
      </c>
      <c r="E37" s="70">
        <f>12717205+1988513</f>
        <v>14705718</v>
      </c>
      <c r="F37" s="6"/>
      <c r="G37" s="23"/>
    </row>
    <row r="38" spans="1:7" ht="15" customHeight="1" outlineLevel="2">
      <c r="A38" s="5"/>
      <c r="B38" s="65" t="s">
        <v>110</v>
      </c>
      <c r="C38" s="32"/>
      <c r="D38" s="5" t="s">
        <v>187</v>
      </c>
      <c r="E38" s="70">
        <v>621940</v>
      </c>
      <c r="F38" s="6"/>
      <c r="G38" s="23"/>
    </row>
    <row r="39" spans="1:7" ht="15" customHeight="1" outlineLevel="2">
      <c r="A39" s="5"/>
      <c r="B39" s="65" t="s">
        <v>115</v>
      </c>
      <c r="C39" s="32"/>
      <c r="D39" s="5" t="s">
        <v>116</v>
      </c>
      <c r="E39" s="70">
        <v>32076</v>
      </c>
      <c r="F39" s="6"/>
      <c r="G39" s="23"/>
    </row>
    <row r="40" spans="1:7" ht="15" customHeight="1" outlineLevel="2">
      <c r="A40" s="5"/>
      <c r="B40" s="65" t="s">
        <v>109</v>
      </c>
      <c r="C40" s="32"/>
      <c r="D40" s="5" t="s">
        <v>116</v>
      </c>
      <c r="E40" s="70">
        <v>5301</v>
      </c>
      <c r="F40" s="6"/>
      <c r="G40" s="23"/>
    </row>
    <row r="41" spans="1:7" ht="15" customHeight="1" outlineLevel="2">
      <c r="A41" s="5"/>
      <c r="B41" s="65" t="s">
        <v>119</v>
      </c>
      <c r="C41" s="32"/>
      <c r="D41" s="5" t="s">
        <v>116</v>
      </c>
      <c r="E41" s="70">
        <f>27901+36714</f>
        <v>64615</v>
      </c>
      <c r="F41" s="6"/>
      <c r="G41" s="23"/>
    </row>
    <row r="42" spans="1:8" ht="15" customHeight="1" outlineLevel="2">
      <c r="A42" s="5"/>
      <c r="B42" s="65" t="s">
        <v>106</v>
      </c>
      <c r="C42" s="32"/>
      <c r="D42" s="5" t="s">
        <v>120</v>
      </c>
      <c r="E42" s="78">
        <f>166546+119960</f>
        <v>286506</v>
      </c>
      <c r="F42" s="6">
        <f>SUM(E32:E42)</f>
        <v>31428222</v>
      </c>
      <c r="G42" s="23"/>
      <c r="H42" s="3"/>
    </row>
    <row r="43" spans="1:7" ht="15" customHeight="1" outlineLevel="2">
      <c r="A43" s="5"/>
      <c r="B43" s="65"/>
      <c r="C43" s="32"/>
      <c r="D43" s="5"/>
      <c r="E43" s="78"/>
      <c r="F43" s="6"/>
      <c r="G43" s="23"/>
    </row>
    <row r="44" spans="1:7" ht="15" customHeight="1" outlineLevel="2">
      <c r="A44" s="5" t="s">
        <v>7</v>
      </c>
      <c r="B44" s="86" t="s">
        <v>8</v>
      </c>
      <c r="C44" s="33"/>
      <c r="D44" s="11"/>
      <c r="E44" s="70"/>
      <c r="F44" s="6"/>
      <c r="G44" s="23"/>
    </row>
    <row r="45" spans="1:7" ht="15" customHeight="1" outlineLevel="2">
      <c r="A45" s="5"/>
      <c r="B45" s="65" t="s">
        <v>118</v>
      </c>
      <c r="C45" s="32"/>
      <c r="D45" s="5" t="s">
        <v>114</v>
      </c>
      <c r="E45" s="70">
        <f>30000+30000</f>
        <v>60000</v>
      </c>
      <c r="F45" s="6"/>
      <c r="G45" s="23"/>
    </row>
    <row r="46" spans="1:7" ht="15" customHeight="1" outlineLevel="2" thickBot="1">
      <c r="A46" s="5"/>
      <c r="B46" s="88" t="s">
        <v>102</v>
      </c>
      <c r="C46" s="33"/>
      <c r="D46" s="61" t="s">
        <v>114</v>
      </c>
      <c r="E46" s="102">
        <f>90000+180000+36000+36000+36000+145500+36000+72000+36000+30000+30000+30000</f>
        <v>757500</v>
      </c>
      <c r="F46" s="103">
        <f>SUM(E45:E46)</f>
        <v>817500</v>
      </c>
      <c r="G46" s="104"/>
    </row>
    <row r="47" spans="1:7" ht="12" outlineLevel="2">
      <c r="A47" s="5"/>
      <c r="B47" s="89" t="s">
        <v>9</v>
      </c>
      <c r="C47" s="80"/>
      <c r="D47" s="5"/>
      <c r="E47" s="65"/>
      <c r="F47" s="6"/>
      <c r="G47" s="69"/>
    </row>
    <row r="48" spans="1:7" ht="15" customHeight="1" outlineLevel="2">
      <c r="A48" s="5"/>
      <c r="B48" s="86" t="s">
        <v>10</v>
      </c>
      <c r="C48" s="81"/>
      <c r="D48" s="11"/>
      <c r="E48" s="70"/>
      <c r="F48" s="6"/>
      <c r="G48" s="69"/>
    </row>
    <row r="49" spans="1:7" ht="14.25" customHeight="1" outlineLevel="2">
      <c r="A49" s="5"/>
      <c r="B49" s="65" t="s">
        <v>128</v>
      </c>
      <c r="C49" s="81"/>
      <c r="D49" s="5" t="s">
        <v>129</v>
      </c>
      <c r="E49" s="70">
        <v>400000</v>
      </c>
      <c r="F49" s="6"/>
      <c r="G49" s="69"/>
    </row>
    <row r="50" spans="1:7" ht="14.25" customHeight="1" outlineLevel="2">
      <c r="A50" s="5"/>
      <c r="B50" s="65" t="s">
        <v>99</v>
      </c>
      <c r="C50" s="81"/>
      <c r="D50" s="5" t="s">
        <v>162</v>
      </c>
      <c r="E50" s="70">
        <v>16046</v>
      </c>
      <c r="F50" s="6"/>
      <c r="G50" s="69"/>
    </row>
    <row r="51" spans="1:7" ht="14.25" customHeight="1" outlineLevel="2">
      <c r="A51" s="5"/>
      <c r="B51" s="65" t="s">
        <v>99</v>
      </c>
      <c r="C51" s="81"/>
      <c r="D51" s="5" t="s">
        <v>177</v>
      </c>
      <c r="E51" s="70">
        <f>23830+7990</f>
        <v>31820</v>
      </c>
      <c r="F51" s="6"/>
      <c r="G51" s="69"/>
    </row>
    <row r="52" spans="1:7" ht="14.25" customHeight="1" outlineLevel="2">
      <c r="A52" s="5"/>
      <c r="B52" s="65" t="s">
        <v>50</v>
      </c>
      <c r="C52" s="81"/>
      <c r="D52" s="5" t="s">
        <v>174</v>
      </c>
      <c r="E52" s="70">
        <f>79168</f>
        <v>79168</v>
      </c>
      <c r="F52" s="6"/>
      <c r="G52" s="69"/>
    </row>
    <row r="53" spans="1:7" ht="14.25" customHeight="1" outlineLevel="2">
      <c r="A53" s="5"/>
      <c r="B53" s="65" t="s">
        <v>74</v>
      </c>
      <c r="C53" s="81"/>
      <c r="D53" s="5" t="s">
        <v>173</v>
      </c>
      <c r="E53" s="70">
        <f>83630</f>
        <v>83630</v>
      </c>
      <c r="F53" s="6"/>
      <c r="G53" s="69"/>
    </row>
    <row r="54" spans="1:7" ht="14.25" customHeight="1" outlineLevel="2">
      <c r="A54" s="5"/>
      <c r="B54" s="65" t="s">
        <v>58</v>
      </c>
      <c r="C54" s="81"/>
      <c r="D54" s="5" t="s">
        <v>178</v>
      </c>
      <c r="E54" s="70">
        <v>16887</v>
      </c>
      <c r="F54" s="6"/>
      <c r="G54" s="69"/>
    </row>
    <row r="55" spans="1:7" ht="14.25" customHeight="1" outlineLevel="2">
      <c r="A55" s="5"/>
      <c r="B55" s="65" t="s">
        <v>64</v>
      </c>
      <c r="C55" s="81"/>
      <c r="D55" s="5" t="s">
        <v>182</v>
      </c>
      <c r="E55" s="70">
        <f>10984+3995</f>
        <v>14979</v>
      </c>
      <c r="F55" s="6"/>
      <c r="G55" s="69"/>
    </row>
    <row r="56" spans="1:7" ht="14.25" customHeight="1" outlineLevel="2">
      <c r="A56" s="5"/>
      <c r="B56" s="65" t="s">
        <v>74</v>
      </c>
      <c r="C56" s="81"/>
      <c r="D56" s="5" t="s">
        <v>182</v>
      </c>
      <c r="E56" s="70">
        <f>3746+12995</f>
        <v>16741</v>
      </c>
      <c r="F56" s="6"/>
      <c r="G56" s="69"/>
    </row>
    <row r="57" spans="1:7" ht="14.25" customHeight="1" outlineLevel="2">
      <c r="A57" s="5"/>
      <c r="B57" s="65" t="s">
        <v>74</v>
      </c>
      <c r="C57" s="81"/>
      <c r="D57" s="5" t="s">
        <v>164</v>
      </c>
      <c r="E57" s="70">
        <v>2000</v>
      </c>
      <c r="F57" s="6"/>
      <c r="G57" s="69"/>
    </row>
    <row r="58" spans="1:7" ht="14.25" customHeight="1" outlineLevel="2">
      <c r="A58" s="5"/>
      <c r="B58" s="65" t="s">
        <v>180</v>
      </c>
      <c r="C58" s="81"/>
      <c r="D58" s="5" t="s">
        <v>181</v>
      </c>
      <c r="E58" s="70">
        <v>5750</v>
      </c>
      <c r="F58" s="6"/>
      <c r="G58" s="69"/>
    </row>
    <row r="59" spans="1:7" ht="14.25" customHeight="1" outlineLevel="2">
      <c r="A59" s="5"/>
      <c r="B59" s="65" t="s">
        <v>143</v>
      </c>
      <c r="C59" s="81"/>
      <c r="D59" s="5" t="s">
        <v>144</v>
      </c>
      <c r="E59" s="70">
        <v>125220</v>
      </c>
      <c r="F59" s="6"/>
      <c r="G59" s="69"/>
    </row>
    <row r="60" spans="1:7" ht="14.25" customHeight="1" outlineLevel="2">
      <c r="A60" s="5"/>
      <c r="B60" s="65" t="s">
        <v>104</v>
      </c>
      <c r="C60" s="81"/>
      <c r="D60" s="5" t="s">
        <v>158</v>
      </c>
      <c r="E60" s="70">
        <v>38015</v>
      </c>
      <c r="F60" s="6"/>
      <c r="G60" s="69"/>
    </row>
    <row r="61" spans="1:7" ht="14.25" customHeight="1" outlineLevel="2">
      <c r="A61" s="5"/>
      <c r="B61" s="65" t="s">
        <v>80</v>
      </c>
      <c r="C61" s="81"/>
      <c r="D61" s="5" t="s">
        <v>154</v>
      </c>
      <c r="E61" s="70">
        <v>163152</v>
      </c>
      <c r="F61" s="6"/>
      <c r="G61" s="69"/>
    </row>
    <row r="62" spans="1:7" ht="14.25" customHeight="1" outlineLevel="2">
      <c r="A62" s="5"/>
      <c r="B62" s="65" t="s">
        <v>106</v>
      </c>
      <c r="C62" s="81"/>
      <c r="D62" s="5" t="s">
        <v>142</v>
      </c>
      <c r="E62" s="70">
        <f>50000</f>
        <v>50000</v>
      </c>
      <c r="F62" s="6"/>
      <c r="G62" s="69"/>
    </row>
    <row r="63" spans="1:9" ht="14.25" customHeight="1" outlineLevel="2">
      <c r="A63" s="5"/>
      <c r="B63" s="65" t="s">
        <v>84</v>
      </c>
      <c r="C63" s="81"/>
      <c r="D63" s="5" t="s">
        <v>131</v>
      </c>
      <c r="E63" s="70">
        <f>48092+514688+184797+1623874+5000000+1441927+5000000</f>
        <v>13813378</v>
      </c>
      <c r="F63" s="6"/>
      <c r="G63" s="69"/>
      <c r="I63" s="3"/>
    </row>
    <row r="64" spans="1:7" ht="15" customHeight="1" outlineLevel="2">
      <c r="A64" s="5"/>
      <c r="B64" s="65" t="s">
        <v>67</v>
      </c>
      <c r="C64" s="81"/>
      <c r="D64" s="5" t="s">
        <v>137</v>
      </c>
      <c r="E64" s="70">
        <v>66894</v>
      </c>
      <c r="F64" s="6"/>
      <c r="G64" s="69"/>
    </row>
    <row r="65" spans="1:7" ht="15" customHeight="1" outlineLevel="2">
      <c r="A65" s="5"/>
      <c r="B65" s="65" t="s">
        <v>76</v>
      </c>
      <c r="C65" s="81"/>
      <c r="D65" s="5" t="s">
        <v>167</v>
      </c>
      <c r="E65" s="70">
        <v>28911</v>
      </c>
      <c r="F65" s="6"/>
      <c r="G65" s="69"/>
    </row>
    <row r="66" spans="1:7" ht="15" customHeight="1" outlineLevel="2">
      <c r="A66" s="5"/>
      <c r="B66" s="65" t="s">
        <v>22</v>
      </c>
      <c r="C66" s="81"/>
      <c r="D66" s="5" t="s">
        <v>146</v>
      </c>
      <c r="E66" s="70">
        <f>34400+65955</f>
        <v>100355</v>
      </c>
      <c r="F66" s="6"/>
      <c r="G66" s="69"/>
    </row>
    <row r="67" spans="1:7" ht="15" customHeight="1" outlineLevel="2">
      <c r="A67" s="5"/>
      <c r="B67" s="65" t="s">
        <v>22</v>
      </c>
      <c r="C67" s="81"/>
      <c r="D67" s="5" t="s">
        <v>165</v>
      </c>
      <c r="E67" s="78">
        <v>4556</v>
      </c>
      <c r="F67" s="6"/>
      <c r="G67" s="69">
        <f>SUM(E49:E67)</f>
        <v>15057502</v>
      </c>
    </row>
    <row r="68" spans="1:7" ht="15" customHeight="1" outlineLevel="2">
      <c r="A68" s="5"/>
      <c r="B68" s="65"/>
      <c r="C68" s="81"/>
      <c r="D68" s="5"/>
      <c r="E68" s="78"/>
      <c r="F68" s="6"/>
      <c r="G68" s="69"/>
    </row>
    <row r="69" spans="1:7" ht="15" customHeight="1" outlineLevel="2">
      <c r="A69" s="5"/>
      <c r="B69" s="86" t="s">
        <v>8</v>
      </c>
      <c r="C69" s="81"/>
      <c r="D69" s="11"/>
      <c r="E69" s="70"/>
      <c r="F69" s="6"/>
      <c r="G69" s="69"/>
    </row>
    <row r="70" spans="1:7" ht="15" customHeight="1" outlineLevel="2">
      <c r="A70" s="5"/>
      <c r="B70" s="65" t="s">
        <v>81</v>
      </c>
      <c r="C70" s="81"/>
      <c r="D70" s="5" t="s">
        <v>186</v>
      </c>
      <c r="E70" s="70">
        <v>125000</v>
      </c>
      <c r="F70" s="6"/>
      <c r="G70" s="69"/>
    </row>
    <row r="71" spans="1:7" ht="15" customHeight="1" outlineLevel="2">
      <c r="A71" s="5"/>
      <c r="B71" s="65" t="s">
        <v>151</v>
      </c>
      <c r="C71" s="81"/>
      <c r="D71" s="5" t="s">
        <v>152</v>
      </c>
      <c r="E71" s="70">
        <v>535500</v>
      </c>
      <c r="F71" s="6"/>
      <c r="G71" s="69"/>
    </row>
    <row r="72" spans="1:7" ht="15" customHeight="1" outlineLevel="2">
      <c r="A72" s="5"/>
      <c r="B72" s="65" t="s">
        <v>105</v>
      </c>
      <c r="C72" s="81"/>
      <c r="D72" s="5" t="s">
        <v>197</v>
      </c>
      <c r="E72" s="70">
        <v>3332</v>
      </c>
      <c r="F72" s="6"/>
      <c r="G72" s="69"/>
    </row>
    <row r="73" spans="1:7" ht="15" customHeight="1" outlineLevel="2">
      <c r="A73" s="5"/>
      <c r="B73" s="65" t="s">
        <v>74</v>
      </c>
      <c r="C73" s="81"/>
      <c r="D73" s="5" t="s">
        <v>122</v>
      </c>
      <c r="E73" s="70">
        <f>30000+30000</f>
        <v>60000</v>
      </c>
      <c r="F73" s="6"/>
      <c r="G73" s="69"/>
    </row>
    <row r="74" spans="1:7" ht="14.25" customHeight="1" outlineLevel="2">
      <c r="A74" s="5"/>
      <c r="B74" s="65" t="s">
        <v>74</v>
      </c>
      <c r="C74" s="81"/>
      <c r="D74" s="5" t="s">
        <v>135</v>
      </c>
      <c r="E74" s="70">
        <f>75000+104000+81000</f>
        <v>260000</v>
      </c>
      <c r="F74" s="6"/>
      <c r="G74" s="69"/>
    </row>
    <row r="75" spans="1:7" ht="14.25" customHeight="1" outlineLevel="2">
      <c r="A75" s="5"/>
      <c r="B75" s="65" t="s">
        <v>74</v>
      </c>
      <c r="C75" s="81"/>
      <c r="D75" s="5" t="s">
        <v>156</v>
      </c>
      <c r="E75" s="70">
        <v>185800</v>
      </c>
      <c r="F75" s="6"/>
      <c r="G75" s="69"/>
    </row>
    <row r="76" spans="1:7" ht="14.25" customHeight="1" outlineLevel="2">
      <c r="A76" s="5"/>
      <c r="B76" s="65" t="s">
        <v>74</v>
      </c>
      <c r="C76" s="81"/>
      <c r="D76" s="5" t="s">
        <v>160</v>
      </c>
      <c r="E76" s="70">
        <v>27000</v>
      </c>
      <c r="F76" s="6"/>
      <c r="G76" s="69"/>
    </row>
    <row r="77" spans="1:7" ht="14.25" customHeight="1" outlineLevel="2" thickBot="1">
      <c r="A77" s="5"/>
      <c r="B77" s="65" t="s">
        <v>64</v>
      </c>
      <c r="C77" s="105"/>
      <c r="D77" s="65" t="s">
        <v>141</v>
      </c>
      <c r="E77" s="70">
        <v>105140</v>
      </c>
      <c r="F77" s="69"/>
      <c r="G77" s="69"/>
    </row>
    <row r="78" spans="1:7" ht="15" customHeight="1" outlineLevel="2">
      <c r="A78" s="5"/>
      <c r="B78" s="65" t="s">
        <v>97</v>
      </c>
      <c r="C78" s="81"/>
      <c r="D78" s="5" t="s">
        <v>172</v>
      </c>
      <c r="E78" s="70">
        <v>300000</v>
      </c>
      <c r="F78" s="6"/>
      <c r="G78" s="69"/>
    </row>
    <row r="79" spans="1:7" ht="15" customHeight="1" outlineLevel="2">
      <c r="A79" s="5"/>
      <c r="B79" s="65" t="s">
        <v>125</v>
      </c>
      <c r="C79" s="81"/>
      <c r="D79" s="5" t="s">
        <v>139</v>
      </c>
      <c r="E79" s="70">
        <f>280000+280000</f>
        <v>560000</v>
      </c>
      <c r="F79" s="6"/>
      <c r="G79" s="69"/>
    </row>
    <row r="80" spans="1:7" ht="15" customHeight="1" outlineLevel="2" thickBot="1">
      <c r="A80" s="5"/>
      <c r="B80" s="88" t="s">
        <v>86</v>
      </c>
      <c r="C80" s="81"/>
      <c r="D80" s="88" t="s">
        <v>147</v>
      </c>
      <c r="E80" s="110">
        <v>36440</v>
      </c>
      <c r="F80" s="111"/>
      <c r="G80" s="111"/>
    </row>
    <row r="81" spans="1:7" ht="15" customHeight="1" outlineLevel="2">
      <c r="A81" s="5"/>
      <c r="B81" s="65" t="s">
        <v>86</v>
      </c>
      <c r="C81" s="81"/>
      <c r="D81" s="5" t="s">
        <v>169</v>
      </c>
      <c r="E81" s="70">
        <f>20000</f>
        <v>20000</v>
      </c>
      <c r="F81" s="6"/>
      <c r="G81" s="69"/>
    </row>
    <row r="82" spans="1:7" ht="15" customHeight="1" outlineLevel="2">
      <c r="A82" s="5"/>
      <c r="B82" s="65" t="s">
        <v>86</v>
      </c>
      <c r="C82" s="81"/>
      <c r="D82" s="5" t="s">
        <v>183</v>
      </c>
      <c r="E82" s="70">
        <v>25000</v>
      </c>
      <c r="F82" s="6"/>
      <c r="G82" s="69"/>
    </row>
    <row r="83" spans="1:7" ht="15" customHeight="1" outlineLevel="2">
      <c r="A83" s="5"/>
      <c r="B83" s="65" t="s">
        <v>86</v>
      </c>
      <c r="C83" s="81"/>
      <c r="D83" s="5" t="s">
        <v>185</v>
      </c>
      <c r="E83" s="70">
        <v>31680</v>
      </c>
      <c r="F83" s="6"/>
      <c r="G83" s="69"/>
    </row>
    <row r="84" spans="1:7" ht="15" customHeight="1" outlineLevel="2">
      <c r="A84" s="5"/>
      <c r="B84" s="65" t="s">
        <v>98</v>
      </c>
      <c r="C84" s="81"/>
      <c r="D84" s="5" t="s">
        <v>171</v>
      </c>
      <c r="E84" s="70">
        <v>228480</v>
      </c>
      <c r="F84" s="6"/>
      <c r="G84" s="69"/>
    </row>
    <row r="85" spans="1:7" ht="15" customHeight="1" outlineLevel="2">
      <c r="A85" s="5"/>
      <c r="B85" s="65" t="s">
        <v>56</v>
      </c>
      <c r="C85" s="81"/>
      <c r="D85" s="5" t="s">
        <v>121</v>
      </c>
      <c r="E85" s="78">
        <f>29000+14600</f>
        <v>43600</v>
      </c>
      <c r="F85" s="6"/>
      <c r="G85" s="69">
        <f>SUM(E70:E85)</f>
        <v>2546972</v>
      </c>
    </row>
    <row r="86" spans="1:7" ht="15" customHeight="1" outlineLevel="2">
      <c r="A86" s="5"/>
      <c r="B86" s="65"/>
      <c r="C86" s="81"/>
      <c r="D86" s="5"/>
      <c r="E86" s="78"/>
      <c r="F86" s="6"/>
      <c r="G86" s="69"/>
    </row>
    <row r="87" spans="1:7" ht="15" customHeight="1" outlineLevel="2">
      <c r="A87" s="5"/>
      <c r="B87" s="86" t="s">
        <v>196</v>
      </c>
      <c r="C87" s="81"/>
      <c r="D87" s="5"/>
      <c r="E87" s="78"/>
      <c r="F87" s="6"/>
      <c r="G87" s="69"/>
    </row>
    <row r="88" spans="1:7" ht="15" customHeight="1" outlineLevel="2">
      <c r="A88" s="5"/>
      <c r="B88" s="65" t="s">
        <v>149</v>
      </c>
      <c r="C88" s="81"/>
      <c r="D88" s="5" t="s">
        <v>150</v>
      </c>
      <c r="E88" s="70">
        <v>164634</v>
      </c>
      <c r="F88" s="6"/>
      <c r="G88" s="69"/>
    </row>
    <row r="89" spans="1:7" ht="14.25" customHeight="1" outlineLevel="2">
      <c r="A89" s="5"/>
      <c r="B89" s="65" t="s">
        <v>170</v>
      </c>
      <c r="C89" s="81"/>
      <c r="D89" s="5" t="s">
        <v>150</v>
      </c>
      <c r="E89" s="78">
        <v>109756</v>
      </c>
      <c r="F89" s="6"/>
      <c r="G89" s="69">
        <f>SUM(E88:E89)</f>
        <v>274390</v>
      </c>
    </row>
    <row r="90" spans="1:7" ht="15" customHeight="1" outlineLevel="2">
      <c r="A90" s="5"/>
      <c r="B90" s="65"/>
      <c r="C90" s="81"/>
      <c r="D90" s="5"/>
      <c r="E90" s="78"/>
      <c r="F90" s="6"/>
      <c r="G90" s="69"/>
    </row>
    <row r="91" spans="1:7" ht="15" customHeight="1" outlineLevel="2">
      <c r="A91" s="5"/>
      <c r="B91" s="86" t="s">
        <v>17</v>
      </c>
      <c r="C91" s="81"/>
      <c r="D91" s="5"/>
      <c r="E91" s="70"/>
      <c r="F91" s="6"/>
      <c r="G91" s="69"/>
    </row>
    <row r="92" spans="1:7" ht="15" customHeight="1" outlineLevel="2">
      <c r="A92" s="5"/>
      <c r="B92" s="65" t="s">
        <v>21</v>
      </c>
      <c r="C92" s="81"/>
      <c r="D92" s="5" t="s">
        <v>157</v>
      </c>
      <c r="E92" s="70">
        <v>803857</v>
      </c>
      <c r="F92" s="6"/>
      <c r="G92" s="69"/>
    </row>
    <row r="93" spans="1:7" ht="15" customHeight="1" outlineLevel="2">
      <c r="A93" s="5"/>
      <c r="B93" s="65" t="s">
        <v>21</v>
      </c>
      <c r="C93" s="81"/>
      <c r="D93" s="5" t="s">
        <v>136</v>
      </c>
      <c r="E93" s="78">
        <f>34733+37829</f>
        <v>72562</v>
      </c>
      <c r="F93" s="6"/>
      <c r="G93" s="69">
        <f>SUM(E92:E93)</f>
        <v>876419</v>
      </c>
    </row>
    <row r="94" spans="1:7" ht="15" customHeight="1" outlineLevel="2">
      <c r="A94" s="5"/>
      <c r="B94" s="65"/>
      <c r="C94" s="81"/>
      <c r="D94" s="5"/>
      <c r="E94" s="78"/>
      <c r="F94" s="6"/>
      <c r="G94" s="69"/>
    </row>
    <row r="95" spans="1:7" ht="15" customHeight="1" outlineLevel="2">
      <c r="A95" s="5"/>
      <c r="B95" s="86" t="s">
        <v>166</v>
      </c>
      <c r="C95" s="81"/>
      <c r="D95" s="78"/>
      <c r="E95" s="78"/>
      <c r="F95" s="69"/>
      <c r="G95" s="69"/>
    </row>
    <row r="96" spans="1:7" ht="15" customHeight="1" outlineLevel="2">
      <c r="A96" s="5"/>
      <c r="B96" s="65" t="s">
        <v>166</v>
      </c>
      <c r="C96" s="81"/>
      <c r="D96" s="5" t="s">
        <v>7</v>
      </c>
      <c r="E96" s="78">
        <v>1140000</v>
      </c>
      <c r="F96" s="6"/>
      <c r="G96" s="69">
        <f>SUM(E96:F96)</f>
        <v>1140000</v>
      </c>
    </row>
    <row r="97" spans="1:7" ht="15" customHeight="1" outlineLevel="2">
      <c r="A97" s="5"/>
      <c r="B97" s="65"/>
      <c r="C97" s="81"/>
      <c r="D97" s="5"/>
      <c r="E97" s="78"/>
      <c r="F97" s="6"/>
      <c r="G97" s="69"/>
    </row>
    <row r="98" spans="1:7" ht="15" customHeight="1" outlineLevel="2">
      <c r="A98" s="5"/>
      <c r="B98" s="86" t="s">
        <v>55</v>
      </c>
      <c r="C98" s="81"/>
      <c r="D98" s="78"/>
      <c r="E98" s="78"/>
      <c r="F98" s="69"/>
      <c r="G98" s="69"/>
    </row>
    <row r="99" spans="1:7" ht="15" customHeight="1" outlineLevel="2">
      <c r="A99" s="5"/>
      <c r="B99" s="65" t="s">
        <v>66</v>
      </c>
      <c r="C99" s="81"/>
      <c r="D99" s="5" t="s">
        <v>145</v>
      </c>
      <c r="E99" s="70">
        <v>1000000</v>
      </c>
      <c r="F99" s="6"/>
      <c r="G99" s="69"/>
    </row>
    <row r="100" spans="1:7" ht="15" customHeight="1" outlineLevel="2">
      <c r="A100" s="5"/>
      <c r="B100" s="65" t="s">
        <v>130</v>
      </c>
      <c r="C100" s="81"/>
      <c r="D100" s="5" t="s">
        <v>176</v>
      </c>
      <c r="E100" s="70">
        <f>695621+695621</f>
        <v>1391242</v>
      </c>
      <c r="F100" s="6"/>
      <c r="G100" s="69"/>
    </row>
    <row r="101" spans="1:7" ht="15" customHeight="1" outlineLevel="2">
      <c r="A101" s="5"/>
      <c r="B101" s="65" t="s">
        <v>123</v>
      </c>
      <c r="C101" s="81"/>
      <c r="D101" s="5" t="s">
        <v>124</v>
      </c>
      <c r="E101" s="70">
        <v>250000</v>
      </c>
      <c r="F101" s="6"/>
      <c r="G101" s="69"/>
    </row>
    <row r="102" spans="1:7" ht="15" customHeight="1" outlineLevel="2">
      <c r="A102" s="5"/>
      <c r="B102" s="65" t="s">
        <v>100</v>
      </c>
      <c r="C102" s="81"/>
      <c r="D102" s="5" t="s">
        <v>153</v>
      </c>
      <c r="E102" s="78">
        <v>1139601</v>
      </c>
      <c r="F102" s="6"/>
      <c r="G102" s="69">
        <f>SUM(E99:E102)</f>
        <v>3780843</v>
      </c>
    </row>
    <row r="103" spans="1:7" ht="14.25" customHeight="1" outlineLevel="2">
      <c r="A103" s="5"/>
      <c r="B103" s="65"/>
      <c r="C103" s="81"/>
      <c r="D103" s="5"/>
      <c r="E103" s="78"/>
      <c r="F103" s="6"/>
      <c r="G103" s="69"/>
    </row>
    <row r="104" spans="1:7" ht="15" customHeight="1" outlineLevel="2">
      <c r="A104" s="5"/>
      <c r="B104" s="86" t="s">
        <v>18</v>
      </c>
      <c r="C104" s="81"/>
      <c r="D104" s="5"/>
      <c r="E104" s="70"/>
      <c r="F104" s="6"/>
      <c r="G104" s="69"/>
    </row>
    <row r="105" spans="1:7" ht="15" customHeight="1" outlineLevel="2">
      <c r="A105" s="5"/>
      <c r="B105" s="65" t="s">
        <v>83</v>
      </c>
      <c r="C105" s="81"/>
      <c r="D105" s="5" t="s">
        <v>168</v>
      </c>
      <c r="E105" s="70">
        <f>31274+29311</f>
        <v>60585</v>
      </c>
      <c r="F105" s="6"/>
      <c r="G105" s="69"/>
    </row>
    <row r="106" spans="1:7" ht="15" customHeight="1" outlineLevel="2">
      <c r="A106" s="5"/>
      <c r="B106" s="65" t="s">
        <v>83</v>
      </c>
      <c r="C106" s="81"/>
      <c r="D106" s="5" t="s">
        <v>163</v>
      </c>
      <c r="E106" s="70">
        <f>92760+157308</f>
        <v>250068</v>
      </c>
      <c r="F106" s="6"/>
      <c r="G106" s="69"/>
    </row>
    <row r="107" spans="1:7" ht="15" customHeight="1" outlineLevel="2">
      <c r="A107" s="5"/>
      <c r="B107" s="65" t="s">
        <v>83</v>
      </c>
      <c r="C107" s="81"/>
      <c r="D107" s="5" t="s">
        <v>179</v>
      </c>
      <c r="E107" s="70">
        <v>10000</v>
      </c>
      <c r="F107" s="6"/>
      <c r="G107" s="69"/>
    </row>
    <row r="108" spans="1:7" ht="15" customHeight="1" outlineLevel="2">
      <c r="A108" s="5"/>
      <c r="B108" s="65" t="s">
        <v>88</v>
      </c>
      <c r="C108" s="81"/>
      <c r="D108" s="5" t="s">
        <v>179</v>
      </c>
      <c r="E108" s="70">
        <v>10000</v>
      </c>
      <c r="F108" s="6"/>
      <c r="G108" s="69"/>
    </row>
    <row r="109" spans="1:7" ht="15" customHeight="1" outlineLevel="2">
      <c r="A109" s="5"/>
      <c r="B109" s="65" t="s">
        <v>87</v>
      </c>
      <c r="C109" s="81"/>
      <c r="D109" s="5" t="s">
        <v>179</v>
      </c>
      <c r="E109" s="70">
        <v>10000</v>
      </c>
      <c r="F109" s="6"/>
      <c r="G109" s="69"/>
    </row>
    <row r="110" spans="1:7" ht="15" customHeight="1" outlineLevel="2">
      <c r="A110" s="5"/>
      <c r="B110" s="65" t="s">
        <v>89</v>
      </c>
      <c r="C110" s="81"/>
      <c r="D110" s="5" t="s">
        <v>179</v>
      </c>
      <c r="E110" s="70">
        <v>10000</v>
      </c>
      <c r="F110" s="6"/>
      <c r="G110" s="69"/>
    </row>
    <row r="111" spans="1:7" ht="15" customHeight="1" outlineLevel="2">
      <c r="A111" s="5"/>
      <c r="B111" s="65" t="s">
        <v>90</v>
      </c>
      <c r="C111" s="81"/>
      <c r="D111" s="5" t="s">
        <v>148</v>
      </c>
      <c r="E111" s="70">
        <v>175208</v>
      </c>
      <c r="F111" s="6"/>
      <c r="G111" s="69"/>
    </row>
    <row r="112" spans="1:7" ht="15" customHeight="1" outlineLevel="2">
      <c r="A112" s="5"/>
      <c r="B112" s="65" t="s">
        <v>90</v>
      </c>
      <c r="C112" s="81"/>
      <c r="D112" s="5" t="s">
        <v>179</v>
      </c>
      <c r="E112" s="70">
        <v>10000</v>
      </c>
      <c r="F112" s="6"/>
      <c r="G112" s="69"/>
    </row>
    <row r="113" spans="1:7" ht="15" customHeight="1" outlineLevel="2" thickBot="1">
      <c r="A113" s="5"/>
      <c r="B113" s="88" t="s">
        <v>91</v>
      </c>
      <c r="C113" s="81"/>
      <c r="D113" s="88" t="s">
        <v>179</v>
      </c>
      <c r="E113" s="110">
        <v>10000</v>
      </c>
      <c r="F113" s="111"/>
      <c r="G113" s="111"/>
    </row>
    <row r="114" spans="1:7" ht="15" customHeight="1" outlineLevel="2">
      <c r="A114" s="5"/>
      <c r="B114" s="65" t="s">
        <v>92</v>
      </c>
      <c r="C114" s="81"/>
      <c r="D114" s="5" t="s">
        <v>179</v>
      </c>
      <c r="E114" s="70">
        <v>10000</v>
      </c>
      <c r="F114" s="6"/>
      <c r="G114" s="69"/>
    </row>
    <row r="115" spans="1:7" ht="15" customHeight="1" outlineLevel="2">
      <c r="A115" s="5"/>
      <c r="B115" s="65" t="s">
        <v>93</v>
      </c>
      <c r="C115" s="81"/>
      <c r="D115" s="5" t="s">
        <v>179</v>
      </c>
      <c r="E115" s="70">
        <v>10000</v>
      </c>
      <c r="F115" s="6"/>
      <c r="G115" s="69"/>
    </row>
    <row r="116" spans="1:7" ht="15" customHeight="1" outlineLevel="2">
      <c r="A116" s="5"/>
      <c r="B116" s="66" t="s">
        <v>19</v>
      </c>
      <c r="C116" s="81"/>
      <c r="D116" s="5"/>
      <c r="E116" s="70"/>
      <c r="F116" s="6"/>
      <c r="G116" s="69"/>
    </row>
    <row r="117" spans="1:7" ht="15" customHeight="1" outlineLevel="2">
      <c r="A117" s="5"/>
      <c r="B117" s="65" t="s">
        <v>101</v>
      </c>
      <c r="C117" s="81"/>
      <c r="D117" s="5" t="s">
        <v>159</v>
      </c>
      <c r="E117" s="70">
        <v>15693</v>
      </c>
      <c r="F117" s="6"/>
      <c r="G117" s="69"/>
    </row>
    <row r="118" spans="1:7" ht="15" customHeight="1" outlineLevel="2">
      <c r="A118" s="5"/>
      <c r="B118" s="65" t="s">
        <v>101</v>
      </c>
      <c r="C118" s="81"/>
      <c r="D118" s="5" t="s">
        <v>126</v>
      </c>
      <c r="E118" s="70">
        <v>275788</v>
      </c>
      <c r="F118" s="6"/>
      <c r="G118" s="69"/>
    </row>
    <row r="119" spans="2:7" s="5" customFormat="1" ht="15" customHeight="1" outlineLevel="2">
      <c r="B119" s="65" t="s">
        <v>85</v>
      </c>
      <c r="C119" s="81"/>
      <c r="D119" s="5" t="s">
        <v>140</v>
      </c>
      <c r="E119" s="70">
        <v>61400</v>
      </c>
      <c r="F119" s="8"/>
      <c r="G119" s="70"/>
    </row>
    <row r="120" spans="1:7" ht="15" customHeight="1" outlineLevel="2">
      <c r="A120" s="5"/>
      <c r="B120" s="65" t="s">
        <v>133</v>
      </c>
      <c r="C120" s="81"/>
      <c r="D120" s="5" t="s">
        <v>134</v>
      </c>
      <c r="E120" s="78">
        <v>173308</v>
      </c>
      <c r="F120" s="6"/>
      <c r="G120" s="69">
        <f>SUM(E105:E120)</f>
        <v>1092050</v>
      </c>
    </row>
    <row r="121" spans="1:7" ht="15" customHeight="1" outlineLevel="2">
      <c r="A121" s="5"/>
      <c r="B121" s="65"/>
      <c r="C121" s="81"/>
      <c r="D121" s="5"/>
      <c r="E121" s="78"/>
      <c r="F121" s="6"/>
      <c r="G121" s="69"/>
    </row>
    <row r="122" spans="1:7" ht="15.75" customHeight="1" outlineLevel="2">
      <c r="A122" s="5"/>
      <c r="B122" s="86" t="s">
        <v>6</v>
      </c>
      <c r="C122" s="81"/>
      <c r="D122" s="5"/>
      <c r="E122" s="78"/>
      <c r="F122" s="6"/>
      <c r="G122" s="69"/>
    </row>
    <row r="123" spans="2:7" s="5" customFormat="1" ht="15" customHeight="1" outlineLevel="2">
      <c r="B123" s="65" t="s">
        <v>95</v>
      </c>
      <c r="C123" s="81"/>
      <c r="D123" s="5" t="s">
        <v>184</v>
      </c>
      <c r="E123" s="70">
        <v>303691</v>
      </c>
      <c r="F123" s="8"/>
      <c r="G123" s="70"/>
    </row>
    <row r="124" spans="2:7" s="5" customFormat="1" ht="15" customHeight="1" outlineLevel="2">
      <c r="B124" s="65" t="s">
        <v>85</v>
      </c>
      <c r="C124" s="81"/>
      <c r="D124" s="5" t="s">
        <v>138</v>
      </c>
      <c r="E124" s="70">
        <f>160742</f>
        <v>160742</v>
      </c>
      <c r="F124" s="8"/>
      <c r="G124" s="70"/>
    </row>
    <row r="125" spans="2:7" s="5" customFormat="1" ht="15" customHeight="1" outlineLevel="2">
      <c r="B125" s="65" t="s">
        <v>103</v>
      </c>
      <c r="C125" s="81"/>
      <c r="D125" s="5" t="s">
        <v>161</v>
      </c>
      <c r="E125" s="70">
        <v>533715</v>
      </c>
      <c r="F125" s="8"/>
      <c r="G125" s="70"/>
    </row>
    <row r="126" spans="2:7" s="5" customFormat="1" ht="15" customHeight="1" outlineLevel="2">
      <c r="B126" s="65" t="s">
        <v>127</v>
      </c>
      <c r="C126" s="81"/>
      <c r="D126" s="5" t="s">
        <v>155</v>
      </c>
      <c r="E126" s="70">
        <f>1258193+928200</f>
        <v>2186393</v>
      </c>
      <c r="F126" s="8"/>
      <c r="G126" s="70"/>
    </row>
    <row r="127" spans="1:7" ht="15" customHeight="1" outlineLevel="2">
      <c r="A127" s="5"/>
      <c r="B127" s="65" t="s">
        <v>82</v>
      </c>
      <c r="C127" s="81"/>
      <c r="D127" s="5" t="s">
        <v>132</v>
      </c>
      <c r="E127" s="78">
        <v>142250</v>
      </c>
      <c r="F127" s="6"/>
      <c r="G127" s="69">
        <f>SUM(E123:E127)</f>
        <v>3326791</v>
      </c>
    </row>
    <row r="128" spans="1:7" ht="15" customHeight="1" outlineLevel="2">
      <c r="A128" s="5"/>
      <c r="B128" s="65"/>
      <c r="C128" s="81"/>
      <c r="D128" s="5"/>
      <c r="E128" s="78"/>
      <c r="F128" s="6"/>
      <c r="G128" s="69"/>
    </row>
    <row r="129" spans="1:7" ht="15" customHeight="1" outlineLevel="2">
      <c r="A129" s="5"/>
      <c r="B129" s="86" t="s">
        <v>108</v>
      </c>
      <c r="C129" s="81"/>
      <c r="D129" s="11"/>
      <c r="E129" s="70"/>
      <c r="F129" s="6"/>
      <c r="G129" s="69"/>
    </row>
    <row r="130" spans="1:7" ht="15" customHeight="1" outlineLevel="2">
      <c r="A130" s="5"/>
      <c r="B130" s="65" t="s">
        <v>61</v>
      </c>
      <c r="C130" s="81"/>
      <c r="D130" s="5" t="s">
        <v>175</v>
      </c>
      <c r="E130" s="70">
        <v>307125</v>
      </c>
      <c r="F130" s="6"/>
      <c r="G130" s="69"/>
    </row>
    <row r="131" spans="1:7" ht="15" customHeight="1" outlineLevel="2">
      <c r="A131" s="5"/>
      <c r="B131" s="65" t="s">
        <v>49</v>
      </c>
      <c r="C131" s="81"/>
      <c r="D131" s="5" t="s">
        <v>175</v>
      </c>
      <c r="E131" s="70">
        <v>760951</v>
      </c>
      <c r="F131" s="6"/>
      <c r="G131" s="69"/>
    </row>
    <row r="132" spans="1:7" ht="15" customHeight="1" outlineLevel="2">
      <c r="A132" s="5"/>
      <c r="B132" s="65" t="s">
        <v>69</v>
      </c>
      <c r="C132" s="81"/>
      <c r="D132" s="5" t="s">
        <v>175</v>
      </c>
      <c r="E132" s="70">
        <v>588009</v>
      </c>
      <c r="F132" s="6"/>
      <c r="G132" s="69"/>
    </row>
    <row r="133" spans="1:7" ht="15" customHeight="1" outlineLevel="2">
      <c r="A133" s="5"/>
      <c r="B133" s="65" t="s">
        <v>62</v>
      </c>
      <c r="C133" s="81"/>
      <c r="D133" s="5" t="s">
        <v>175</v>
      </c>
      <c r="E133" s="70">
        <v>1087356</v>
      </c>
      <c r="F133" s="6"/>
      <c r="G133" s="69"/>
    </row>
    <row r="134" spans="1:7" ht="15" customHeight="1" outlineLevel="2">
      <c r="A134" s="5"/>
      <c r="B134" s="65" t="s">
        <v>50</v>
      </c>
      <c r="C134" s="81"/>
      <c r="D134" s="5" t="s">
        <v>175</v>
      </c>
      <c r="E134" s="70">
        <v>858511</v>
      </c>
      <c r="F134" s="6"/>
      <c r="G134" s="69"/>
    </row>
    <row r="135" spans="1:7" ht="15" customHeight="1" outlineLevel="2">
      <c r="A135" s="5"/>
      <c r="B135" s="65" t="s">
        <v>75</v>
      </c>
      <c r="C135" s="81"/>
      <c r="D135" s="5" t="s">
        <v>175</v>
      </c>
      <c r="E135" s="70">
        <f>427219</f>
        <v>427219</v>
      </c>
      <c r="F135" s="6"/>
      <c r="G135" s="69"/>
    </row>
    <row r="136" spans="1:7" ht="14.25" customHeight="1" outlineLevel="2">
      <c r="A136" s="5"/>
      <c r="B136" s="65" t="s">
        <v>64</v>
      </c>
      <c r="C136" s="81"/>
      <c r="D136" s="5" t="s">
        <v>175</v>
      </c>
      <c r="E136" s="70">
        <v>875682</v>
      </c>
      <c r="F136" s="6"/>
      <c r="G136" s="69"/>
    </row>
    <row r="137" spans="1:7" ht="14.25" customHeight="1" outlineLevel="2">
      <c r="A137" s="5"/>
      <c r="B137" s="65" t="s">
        <v>63</v>
      </c>
      <c r="C137" s="81"/>
      <c r="D137" s="5" t="s">
        <v>175</v>
      </c>
      <c r="E137" s="70">
        <f>601559</f>
        <v>601559</v>
      </c>
      <c r="F137" s="6"/>
      <c r="G137" s="69"/>
    </row>
    <row r="138" spans="1:7" ht="14.25" customHeight="1" outlineLevel="2">
      <c r="A138" s="5"/>
      <c r="B138" s="65" t="s">
        <v>58</v>
      </c>
      <c r="C138" s="81"/>
      <c r="D138" s="5" t="s">
        <v>175</v>
      </c>
      <c r="E138" s="78">
        <f>854232</f>
        <v>854232</v>
      </c>
      <c r="F138" s="6"/>
      <c r="G138" s="69">
        <f>SUM(E130:E138)</f>
        <v>6360644</v>
      </c>
    </row>
    <row r="139" spans="1:7" ht="15" customHeight="1" outlineLevel="2">
      <c r="A139" s="5"/>
      <c r="B139" s="65"/>
      <c r="C139" s="81"/>
      <c r="D139" s="62"/>
      <c r="E139" s="78"/>
      <c r="F139" s="6"/>
      <c r="G139" s="69"/>
    </row>
    <row r="140" spans="1:7" ht="15" customHeight="1" outlineLevel="2">
      <c r="A140" s="5"/>
      <c r="B140" s="86" t="s">
        <v>11</v>
      </c>
      <c r="C140" s="81"/>
      <c r="D140" s="5"/>
      <c r="E140" s="70"/>
      <c r="F140" s="6"/>
      <c r="G140" s="69"/>
    </row>
    <row r="141" spans="1:7" ht="15" customHeight="1" outlineLevel="2">
      <c r="A141" s="5"/>
      <c r="B141" s="65" t="s">
        <v>12</v>
      </c>
      <c r="C141" s="81"/>
      <c r="D141" s="62" t="s">
        <v>194</v>
      </c>
      <c r="E141" s="70">
        <v>261967</v>
      </c>
      <c r="F141" s="6"/>
      <c r="G141" s="69"/>
    </row>
    <row r="142" spans="1:7" ht="15" customHeight="1" outlineLevel="2">
      <c r="A142" s="5"/>
      <c r="B142" s="65" t="s">
        <v>60</v>
      </c>
      <c r="C142" s="82"/>
      <c r="D142" s="62" t="s">
        <v>194</v>
      </c>
      <c r="E142" s="70">
        <v>70795</v>
      </c>
      <c r="F142" s="6"/>
      <c r="G142" s="69"/>
    </row>
    <row r="143" spans="1:7" ht="15" customHeight="1" outlineLevel="2">
      <c r="A143" s="5"/>
      <c r="B143" s="65" t="s">
        <v>78</v>
      </c>
      <c r="C143" s="82"/>
      <c r="D143" s="62" t="s">
        <v>194</v>
      </c>
      <c r="E143" s="70">
        <v>253447</v>
      </c>
      <c r="F143" s="6"/>
      <c r="G143" s="69"/>
    </row>
    <row r="144" spans="1:7" ht="15" customHeight="1" outlineLevel="2" thickBot="1">
      <c r="A144" s="5"/>
      <c r="B144" s="106" t="s">
        <v>94</v>
      </c>
      <c r="C144" s="82"/>
      <c r="D144" s="109" t="s">
        <v>194</v>
      </c>
      <c r="E144" s="107">
        <v>89672</v>
      </c>
      <c r="F144" s="108"/>
      <c r="G144" s="108"/>
    </row>
    <row r="145" spans="1:7" ht="15" customHeight="1" outlineLevel="2" thickTop="1">
      <c r="A145" s="5"/>
      <c r="B145" s="65" t="s">
        <v>77</v>
      </c>
      <c r="C145" s="82"/>
      <c r="D145" s="62" t="s">
        <v>194</v>
      </c>
      <c r="E145" s="70">
        <v>177288</v>
      </c>
      <c r="F145" s="6"/>
      <c r="G145" s="69"/>
    </row>
    <row r="146" spans="1:9" ht="15" customHeight="1" outlineLevel="2">
      <c r="A146" s="5"/>
      <c r="B146" s="65" t="s">
        <v>68</v>
      </c>
      <c r="C146" s="81"/>
      <c r="D146" s="62" t="s">
        <v>194</v>
      </c>
      <c r="E146" s="70">
        <v>84579</v>
      </c>
      <c r="F146" s="6"/>
      <c r="G146" s="69"/>
      <c r="I146" s="3"/>
    </row>
    <row r="147" spans="1:7" ht="15" customHeight="1" outlineLevel="2">
      <c r="A147" s="5"/>
      <c r="B147" s="65" t="s">
        <v>46</v>
      </c>
      <c r="C147" s="81"/>
      <c r="D147" s="62" t="s">
        <v>194</v>
      </c>
      <c r="E147" s="70">
        <v>436641</v>
      </c>
      <c r="F147" s="6"/>
      <c r="G147" s="69"/>
    </row>
    <row r="148" spans="1:7" ht="15" customHeight="1" outlineLevel="2">
      <c r="A148" s="5"/>
      <c r="B148" s="65" t="s">
        <v>70</v>
      </c>
      <c r="C148" s="81"/>
      <c r="D148" s="62" t="s">
        <v>194</v>
      </c>
      <c r="E148" s="70">
        <v>470249</v>
      </c>
      <c r="F148" s="6"/>
      <c r="G148" s="69"/>
    </row>
    <row r="149" spans="1:9" ht="15" customHeight="1" outlineLevel="2">
      <c r="A149" s="5"/>
      <c r="B149" s="65" t="s">
        <v>71</v>
      </c>
      <c r="C149" s="81"/>
      <c r="D149" s="62" t="s">
        <v>194</v>
      </c>
      <c r="E149" s="70">
        <v>121674</v>
      </c>
      <c r="F149" s="6"/>
      <c r="G149" s="69"/>
      <c r="I149" s="3"/>
    </row>
    <row r="150" spans="1:8" ht="15" customHeight="1" outlineLevel="2">
      <c r="A150" s="5"/>
      <c r="B150" s="65" t="s">
        <v>25</v>
      </c>
      <c r="C150" s="81"/>
      <c r="D150" s="62" t="s">
        <v>194</v>
      </c>
      <c r="E150" s="70">
        <f>30341+78015+29366+14669+43540</f>
        <v>195931</v>
      </c>
      <c r="F150" s="6"/>
      <c r="G150" s="69"/>
      <c r="H150" s="3"/>
    </row>
    <row r="151" spans="1:7" ht="15" customHeight="1" outlineLevel="2">
      <c r="A151" s="5"/>
      <c r="B151" s="65" t="s">
        <v>65</v>
      </c>
      <c r="C151" s="81"/>
      <c r="D151" s="62" t="s">
        <v>194</v>
      </c>
      <c r="E151" s="70">
        <v>134410</v>
      </c>
      <c r="F151" s="6"/>
      <c r="G151" s="69"/>
    </row>
    <row r="152" spans="1:7" ht="15" customHeight="1" outlineLevel="2">
      <c r="A152" s="5"/>
      <c r="B152" s="65" t="s">
        <v>59</v>
      </c>
      <c r="C152" s="81"/>
      <c r="D152" s="62" t="s">
        <v>194</v>
      </c>
      <c r="E152" s="70">
        <v>63611</v>
      </c>
      <c r="F152" s="6"/>
      <c r="G152" s="69"/>
    </row>
    <row r="153" spans="1:8" ht="15" customHeight="1" outlineLevel="2" thickBot="1">
      <c r="A153" s="5"/>
      <c r="B153" s="67" t="s">
        <v>20</v>
      </c>
      <c r="C153" s="83"/>
      <c r="D153" s="62" t="s">
        <v>194</v>
      </c>
      <c r="E153" s="79">
        <v>261385</v>
      </c>
      <c r="F153" s="68"/>
      <c r="G153" s="71">
        <f>SUM(E141:E153)</f>
        <v>2621649</v>
      </c>
      <c r="H153" s="3"/>
    </row>
    <row r="154" spans="2:11" ht="12.75" outlineLevel="1" thickBot="1">
      <c r="B154" s="34" t="s">
        <v>13</v>
      </c>
      <c r="C154" s="64"/>
      <c r="D154" s="56"/>
      <c r="E154" s="55"/>
      <c r="F154" s="35">
        <f>SUM(F8:F153)</f>
        <v>56466942</v>
      </c>
      <c r="G154" s="35">
        <f>SUM(G8:G153)</f>
        <v>37077260</v>
      </c>
      <c r="H154" s="3"/>
      <c r="I154" s="3"/>
      <c r="J154" s="3"/>
      <c r="K154" s="3"/>
    </row>
    <row r="155" spans="2:9" ht="12.75" outlineLevel="1" thickBot="1">
      <c r="B155" s="37" t="s">
        <v>14</v>
      </c>
      <c r="C155" s="56"/>
      <c r="D155" s="54"/>
      <c r="E155" s="36"/>
      <c r="F155" s="36">
        <f>G6</f>
        <v>252809533</v>
      </c>
      <c r="G155" s="36">
        <v>0</v>
      </c>
      <c r="H155" s="3"/>
      <c r="I155" s="3"/>
    </row>
    <row r="156" spans="2:8" ht="12.75" thickBot="1">
      <c r="B156" s="39" t="s">
        <v>15</v>
      </c>
      <c r="C156" s="56"/>
      <c r="D156" s="38"/>
      <c r="E156" s="36"/>
      <c r="F156" s="36">
        <f>SUM(F154:F155)</f>
        <v>309276475</v>
      </c>
      <c r="G156" s="36">
        <f>SUM(G154:G155)</f>
        <v>37077260</v>
      </c>
      <c r="H156" s="3"/>
    </row>
    <row r="157" spans="2:7" ht="12" thickBot="1">
      <c r="B157" s="7"/>
      <c r="C157" s="59"/>
      <c r="D157" s="7"/>
      <c r="E157" s="6"/>
      <c r="F157" s="6"/>
      <c r="G157" s="6"/>
    </row>
    <row r="158" spans="1:8" s="9" customFormat="1" ht="15" customHeight="1" thickBot="1">
      <c r="A158" s="11"/>
      <c r="B158" s="40" t="s">
        <v>192</v>
      </c>
      <c r="C158" s="41"/>
      <c r="D158" s="41"/>
      <c r="E158" s="42">
        <f>F156-G156</f>
        <v>272199215</v>
      </c>
      <c r="F158" s="13" t="s">
        <v>7</v>
      </c>
      <c r="G158"/>
      <c r="H158" s="4"/>
    </row>
    <row r="159" spans="2:7" s="5" customFormat="1" ht="35.25" customHeight="1">
      <c r="B159" s="7"/>
      <c r="D159" s="7"/>
      <c r="E159" s="6"/>
      <c r="F159" s="6"/>
      <c r="G159" s="6"/>
    </row>
    <row r="160" spans="2:7" s="5" customFormat="1" ht="12">
      <c r="B160" s="7"/>
      <c r="D160" s="7"/>
      <c r="E160" s="6"/>
      <c r="F160" s="13"/>
      <c r="G160" s="6"/>
    </row>
    <row r="161" spans="2:7" s="5" customFormat="1" ht="18.75">
      <c r="B161" s="5" t="s">
        <v>195</v>
      </c>
      <c r="D161" s="7"/>
      <c r="E161" s="6"/>
      <c r="F161" s="90" t="s">
        <v>79</v>
      </c>
      <c r="G161" s="6"/>
    </row>
    <row r="162" spans="4:7" s="5" customFormat="1" ht="15" customHeight="1">
      <c r="D162" s="12"/>
      <c r="E162" s="14"/>
      <c r="F162" s="13"/>
      <c r="G162" s="13"/>
    </row>
    <row r="163" spans="5:7" s="5" customFormat="1" ht="15" customHeight="1">
      <c r="E163" s="8"/>
      <c r="F163" s="6"/>
      <c r="G163" s="6"/>
    </row>
    <row r="164" spans="3:6" ht="11.25">
      <c r="C164" s="5"/>
      <c r="F164" s="3"/>
    </row>
    <row r="165" spans="3:5" ht="11.25">
      <c r="C165" s="5"/>
      <c r="E165" s="3"/>
    </row>
    <row r="166" ht="11.25">
      <c r="C166" s="5"/>
    </row>
    <row r="167" ht="11.25">
      <c r="C167" s="5"/>
    </row>
    <row r="168" ht="11.25">
      <c r="C168" s="5"/>
    </row>
    <row r="169" ht="11.25">
      <c r="C169" s="5"/>
    </row>
    <row r="170" ht="11.25">
      <c r="C170" s="5"/>
    </row>
    <row r="171" ht="11.25">
      <c r="C171" s="5"/>
    </row>
  </sheetData>
  <sheetProtection/>
  <autoFilter ref="E4:E172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6">
      <selection activeCell="B59" sqref="B59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51</v>
      </c>
      <c r="C6" s="50" t="s">
        <v>32</v>
      </c>
      <c r="D6" s="50"/>
      <c r="E6" s="47" t="s">
        <v>47</v>
      </c>
    </row>
    <row r="7" spans="2:5" s="5" customFormat="1" ht="15" customHeight="1">
      <c r="B7" s="24" t="s">
        <v>33</v>
      </c>
      <c r="C7" s="32">
        <v>81</v>
      </c>
      <c r="D7" s="70">
        <v>465750</v>
      </c>
      <c r="E7" s="43">
        <f>378400+4300+378400+4300</f>
        <v>765400</v>
      </c>
    </row>
    <row r="8" spans="2:5" s="5" customFormat="1" ht="15" customHeight="1">
      <c r="B8" s="24" t="s">
        <v>28</v>
      </c>
      <c r="C8" s="32">
        <v>105</v>
      </c>
      <c r="D8" s="70">
        <f>603750</f>
        <v>603750</v>
      </c>
      <c r="E8" s="43">
        <f>533200+8600</f>
        <v>541800</v>
      </c>
    </row>
    <row r="9" spans="2:5" s="5" customFormat="1" ht="15" customHeight="1">
      <c r="B9" s="24" t="s">
        <v>31</v>
      </c>
      <c r="C9" s="32">
        <v>226</v>
      </c>
      <c r="D9" s="70">
        <v>1299500</v>
      </c>
      <c r="E9" s="43">
        <f>838500+8600+834200+8600</f>
        <v>1689900</v>
      </c>
    </row>
    <row r="10" spans="2:5" s="5" customFormat="1" ht="15" customHeight="1">
      <c r="B10" s="24" t="s">
        <v>34</v>
      </c>
      <c r="C10" s="32">
        <f>155</f>
        <v>155</v>
      </c>
      <c r="D10" s="70">
        <f>891250</f>
        <v>891250</v>
      </c>
      <c r="E10" s="43">
        <v>0</v>
      </c>
    </row>
    <row r="11" spans="2:5" s="5" customFormat="1" ht="15" customHeight="1">
      <c r="B11" s="24" t="s">
        <v>26</v>
      </c>
      <c r="C11" s="32">
        <v>156</v>
      </c>
      <c r="D11" s="70">
        <v>897000</v>
      </c>
      <c r="E11" s="43">
        <f>8600+967500</f>
        <v>976100</v>
      </c>
    </row>
    <row r="12" spans="2:5" s="5" customFormat="1" ht="15" customHeight="1">
      <c r="B12" s="24" t="s">
        <v>35</v>
      </c>
      <c r="C12" s="32">
        <f>1+1+1+1+453+1</f>
        <v>458</v>
      </c>
      <c r="D12" s="70">
        <f>2200+5750+3300+2604750</f>
        <v>2616000</v>
      </c>
      <c r="E12" s="43">
        <f>17200+223100+8600+8600</f>
        <v>257500</v>
      </c>
    </row>
    <row r="13" spans="2:5" s="5" customFormat="1" ht="15" customHeight="1">
      <c r="B13" s="24" t="s">
        <v>36</v>
      </c>
      <c r="C13" s="32">
        <f>1+1+1+1+1+1+528+1</f>
        <v>535</v>
      </c>
      <c r="D13" s="70">
        <f>23000+2120+11500+25300+3200+2200+3030250+27600+27600</f>
        <v>3152770</v>
      </c>
      <c r="E13" s="43">
        <f>3457200+30100+3990</f>
        <v>3491290</v>
      </c>
    </row>
    <row r="14" spans="2:5" s="5" customFormat="1" ht="15" customHeight="1">
      <c r="B14" s="24" t="s">
        <v>37</v>
      </c>
      <c r="C14" s="32">
        <v>72</v>
      </c>
      <c r="D14" s="70">
        <v>408250</v>
      </c>
      <c r="E14" s="43">
        <f>8600+602000+593400</f>
        <v>1204000</v>
      </c>
    </row>
    <row r="15" spans="2:5" s="5" customFormat="1" ht="15" customHeight="1">
      <c r="B15" s="24" t="s">
        <v>24</v>
      </c>
      <c r="C15" s="32">
        <f>1+160+1</f>
        <v>162</v>
      </c>
      <c r="D15" s="70">
        <f>2300+920000</f>
        <v>922300</v>
      </c>
      <c r="E15" s="43">
        <f>640700+653600</f>
        <v>1294300</v>
      </c>
    </row>
    <row r="16" spans="2:5" s="5" customFormat="1" ht="15" customHeight="1">
      <c r="B16" s="24" t="s">
        <v>38</v>
      </c>
      <c r="C16" s="32">
        <f>1+1+366+1+1+1</f>
        <v>371</v>
      </c>
      <c r="D16" s="70">
        <f>2200+26400+2104500+4900+2300</f>
        <v>2140300</v>
      </c>
      <c r="E16" s="43">
        <f>1797400+8600</f>
        <v>1806000</v>
      </c>
    </row>
    <row r="17" spans="2:5" s="5" customFormat="1" ht="15" customHeight="1">
      <c r="B17" s="24" t="s">
        <v>39</v>
      </c>
      <c r="C17" s="32">
        <f>1+148+1</f>
        <v>150</v>
      </c>
      <c r="D17" s="70">
        <f>2200+875500+2200</f>
        <v>879900</v>
      </c>
      <c r="E17" s="43">
        <v>774000</v>
      </c>
    </row>
    <row r="18" spans="2:5" s="5" customFormat="1" ht="15" customHeight="1">
      <c r="B18" s="24" t="s">
        <v>40</v>
      </c>
      <c r="C18" s="32">
        <f>305</f>
        <v>305</v>
      </c>
      <c r="D18" s="70">
        <f>1753750</f>
        <v>1753750</v>
      </c>
      <c r="E18" s="43">
        <f>1427290</f>
        <v>1427290</v>
      </c>
    </row>
    <row r="19" spans="2:5" s="5" customFormat="1" ht="15" customHeight="1">
      <c r="B19" s="24" t="s">
        <v>23</v>
      </c>
      <c r="C19" s="32">
        <v>100</v>
      </c>
      <c r="D19" s="70">
        <v>575000</v>
      </c>
      <c r="E19" s="43">
        <v>442900</v>
      </c>
    </row>
    <row r="20" spans="2:5" s="5" customFormat="1" ht="15" customHeight="1">
      <c r="B20" s="24" t="s">
        <v>41</v>
      </c>
      <c r="C20" s="32">
        <f>1+1+405</f>
        <v>407</v>
      </c>
      <c r="D20" s="70">
        <f>2200+2328750</f>
        <v>2330950</v>
      </c>
      <c r="E20" s="43">
        <f>1720+12900+2128500</f>
        <v>2143120</v>
      </c>
    </row>
    <row r="21" spans="2:5" s="5" customFormat="1" ht="15" customHeight="1">
      <c r="B21" s="24" t="s">
        <v>29</v>
      </c>
      <c r="C21" s="32">
        <f>268+1</f>
        <v>269</v>
      </c>
      <c r="D21" s="70">
        <f>1541000+7000</f>
        <v>1548000</v>
      </c>
      <c r="E21" s="43">
        <f>7740+1388900+12900+1596</f>
        <v>1411136</v>
      </c>
    </row>
    <row r="22" spans="2:5" s="5" customFormat="1" ht="15" customHeight="1">
      <c r="B22" s="24" t="s">
        <v>42</v>
      </c>
      <c r="C22" s="32">
        <f>1+210</f>
        <v>211</v>
      </c>
      <c r="D22" s="70">
        <f>5000+1207500</f>
        <v>1212500</v>
      </c>
      <c r="E22" s="43">
        <f>12900+924500+4300</f>
        <v>941700</v>
      </c>
    </row>
    <row r="23" spans="2:5" s="5" customFormat="1" ht="15" customHeight="1">
      <c r="B23" s="24" t="s">
        <v>30</v>
      </c>
      <c r="C23" s="32">
        <f>202</f>
        <v>202</v>
      </c>
      <c r="D23" s="70">
        <f>1161500</f>
        <v>1161500</v>
      </c>
      <c r="E23" s="43">
        <f>645000</f>
        <v>645000</v>
      </c>
    </row>
    <row r="24" spans="2:5" s="5" customFormat="1" ht="15" customHeight="1">
      <c r="B24" s="24" t="s">
        <v>43</v>
      </c>
      <c r="C24" s="32">
        <v>122</v>
      </c>
      <c r="D24" s="70">
        <v>701500</v>
      </c>
      <c r="E24" s="43">
        <f>4300+520300</f>
        <v>524600</v>
      </c>
    </row>
    <row r="25" spans="2:5" s="5" customFormat="1" ht="15" customHeight="1" thickBot="1">
      <c r="B25" s="24" t="s">
        <v>44</v>
      </c>
      <c r="C25" s="32">
        <f>115</f>
        <v>115</v>
      </c>
      <c r="D25" s="78">
        <v>661250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4202</v>
      </c>
      <c r="D26" s="51">
        <f>SUM(D7:D25)</f>
        <v>24221220</v>
      </c>
      <c r="E26" s="48"/>
    </row>
    <row r="27" spans="2:5" ht="15.75" customHeight="1" hidden="1" thickBot="1">
      <c r="B27" s="45" t="s">
        <v>48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57</v>
      </c>
    </row>
    <row r="5" ht="13.5" thickBot="1"/>
    <row r="6" spans="2:5" s="17" customFormat="1" ht="28.5" customHeight="1" thickBot="1">
      <c r="B6" s="91" t="s">
        <v>52</v>
      </c>
      <c r="C6" s="96" t="s">
        <v>53</v>
      </c>
      <c r="D6" s="52" t="s">
        <v>54</v>
      </c>
      <c r="E6" s="101" t="s">
        <v>73</v>
      </c>
    </row>
    <row r="7" spans="2:5" s="5" customFormat="1" ht="15" customHeight="1" thickTop="1">
      <c r="B7" s="93"/>
      <c r="C7" s="98"/>
      <c r="D7"/>
      <c r="E7" s="98"/>
    </row>
    <row r="8" spans="2:5" s="5" customFormat="1" ht="15" customHeight="1">
      <c r="B8" s="94"/>
      <c r="C8" s="99"/>
      <c r="D8"/>
      <c r="E8" s="99"/>
    </row>
    <row r="9" spans="2:5" s="5" customFormat="1" ht="15" customHeight="1">
      <c r="B9" s="94"/>
      <c r="C9" s="99"/>
      <c r="D9"/>
      <c r="E9" s="99"/>
    </row>
    <row r="10" spans="2:5" s="5" customFormat="1" ht="15" customHeight="1">
      <c r="B10" s="94"/>
      <c r="C10" s="99"/>
      <c r="D10"/>
      <c r="E10" s="99"/>
    </row>
    <row r="11" spans="2:5" s="5" customFormat="1" ht="15" customHeight="1">
      <c r="B11" s="94"/>
      <c r="C11" s="99"/>
      <c r="D11"/>
      <c r="E11" s="99"/>
    </row>
    <row r="12" spans="2:5" s="5" customFormat="1" ht="15" customHeight="1">
      <c r="B12" s="94"/>
      <c r="C12" s="99"/>
      <c r="D12"/>
      <c r="E12" s="99"/>
    </row>
    <row r="13" spans="2:5" s="5" customFormat="1" ht="15" customHeight="1">
      <c r="B13" s="94"/>
      <c r="C13" s="99"/>
      <c r="D13"/>
      <c r="E13" s="99"/>
    </row>
    <row r="14" spans="2:5" s="5" customFormat="1" ht="15" customHeight="1">
      <c r="B14" s="94"/>
      <c r="C14" s="99"/>
      <c r="D14"/>
      <c r="E14" s="99"/>
    </row>
    <row r="15" spans="2:5" s="5" customFormat="1" ht="15" customHeight="1">
      <c r="B15" s="94"/>
      <c r="C15" s="99"/>
      <c r="D15"/>
      <c r="E15" s="99"/>
    </row>
    <row r="16" spans="2:5" s="5" customFormat="1" ht="15" customHeight="1">
      <c r="B16" s="94"/>
      <c r="C16" s="99"/>
      <c r="D16"/>
      <c r="E16" s="99"/>
    </row>
    <row r="17" spans="2:5" s="5" customFormat="1" ht="15" customHeight="1">
      <c r="B17" s="94"/>
      <c r="C17" s="99"/>
      <c r="D17"/>
      <c r="E17" s="99"/>
    </row>
    <row r="18" spans="2:5" s="5" customFormat="1" ht="15" customHeight="1">
      <c r="B18" s="94"/>
      <c r="C18" s="99"/>
      <c r="D18"/>
      <c r="E18" s="99"/>
    </row>
    <row r="19" spans="2:5" s="5" customFormat="1" ht="15" customHeight="1">
      <c r="B19" s="94"/>
      <c r="C19" s="99"/>
      <c r="D19"/>
      <c r="E19" s="99"/>
    </row>
    <row r="20" spans="2:5" s="5" customFormat="1" ht="15" customHeight="1">
      <c r="B20" s="94"/>
      <c r="C20" s="99"/>
      <c r="D20"/>
      <c r="E20" s="99"/>
    </row>
    <row r="21" spans="2:5" s="5" customFormat="1" ht="15" customHeight="1">
      <c r="B21" s="94"/>
      <c r="C21" s="99"/>
      <c r="D21"/>
      <c r="E21" s="99"/>
    </row>
    <row r="22" spans="2:5" s="5" customFormat="1" ht="15" customHeight="1">
      <c r="B22" s="94"/>
      <c r="C22" s="99"/>
      <c r="D22"/>
      <c r="E22" s="99"/>
    </row>
    <row r="23" spans="2:5" s="5" customFormat="1" ht="15" customHeight="1">
      <c r="B23" s="94"/>
      <c r="C23" s="99"/>
      <c r="D23"/>
      <c r="E23" s="99"/>
    </row>
    <row r="24" spans="2:5" s="5" customFormat="1" ht="15" customHeight="1">
      <c r="B24" s="94"/>
      <c r="C24" s="99"/>
      <c r="D24"/>
      <c r="E24" s="99"/>
    </row>
    <row r="25" spans="2:5" s="5" customFormat="1" ht="15" customHeight="1" thickBot="1">
      <c r="B25" s="95"/>
      <c r="C25" s="100"/>
      <c r="D25"/>
      <c r="E25" s="100"/>
    </row>
    <row r="26" spans="2:9" s="5" customFormat="1" ht="15" customHeight="1" thickBot="1" thickTop="1">
      <c r="B26" s="92"/>
      <c r="C26" s="97"/>
      <c r="D26" s="60">
        <f>SUM(D7:D25)</f>
        <v>0</v>
      </c>
      <c r="E26" s="97"/>
      <c r="I26" s="5" t="s">
        <v>72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2022-05-25T01:00:43Z</cp:lastPrinted>
  <dcterms:created xsi:type="dcterms:W3CDTF">2000-09-21T06:07:13Z</dcterms:created>
  <dcterms:modified xsi:type="dcterms:W3CDTF">2022-05-25T01:33:04Z</dcterms:modified>
  <cp:category/>
  <cp:version/>
  <cp:contentType/>
  <cp:contentStatus/>
</cp:coreProperties>
</file>