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1" activeTab="1"/>
  </bookViews>
  <sheets>
    <sheet name="XXXXXXX" sheetId="1" state="veryHidden" r:id="rId1"/>
    <sheet name="informe" sheetId="2" r:id="rId2"/>
    <sheet name="ANEXO" sheetId="3" r:id="rId3"/>
    <sheet name="RADIO TAXI" sheetId="4" r:id="rId4"/>
  </sheets>
  <definedNames>
    <definedName name="_xlnm._FilterDatabase" localSheetId="1" hidden="1">'informe'!$E$4:$E$162</definedName>
    <definedName name="_xlnm.Print_Titles" localSheetId="1">'informe'!$7:$7</definedName>
    <definedName name="_xlnm.Print_Titles" localSheetId="3">'RADIO TAXI'!$1:$6</definedName>
  </definedNames>
  <calcPr fullCalcOnLoad="1"/>
</workbook>
</file>

<file path=xl/comments2.xml><?xml version="1.0" encoding="utf-8"?>
<comments xmlns="http://schemas.openxmlformats.org/spreadsheetml/2006/main">
  <authors>
    <author>Cristian</author>
  </authors>
  <commentList>
    <comment ref="E14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E21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</commentList>
</comments>
</file>

<file path=xl/comments3.xml><?xml version="1.0" encoding="utf-8"?>
<comments xmlns="http://schemas.openxmlformats.org/spreadsheetml/2006/main">
  <authors>
    <author>Cristian</author>
  </authors>
  <commentList>
    <comment ref="D10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D17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</commentList>
</comments>
</file>

<file path=xl/sharedStrings.xml><?xml version="1.0" encoding="utf-8"?>
<sst xmlns="http://schemas.openxmlformats.org/spreadsheetml/2006/main" count="261" uniqueCount="188">
  <si>
    <t>DESCRIPCION</t>
  </si>
  <si>
    <t>INGRESOS</t>
  </si>
  <si>
    <t>EGRESOS</t>
  </si>
  <si>
    <t>I  N  G  R  E  S  O  S:</t>
  </si>
  <si>
    <t>CUOTAS SOCIALES</t>
  </si>
  <si>
    <t>INGRESOS VARIOS</t>
  </si>
  <si>
    <t>HOGAR JUDICIAL</t>
  </si>
  <si>
    <t xml:space="preserve"> </t>
  </si>
  <si>
    <t>CENTROS VACACIONALES</t>
  </si>
  <si>
    <t>E   G   R   E   S   O    S:</t>
  </si>
  <si>
    <t>GASTOS GENERALES</t>
  </si>
  <si>
    <t>COTIZACIONES</t>
  </si>
  <si>
    <t>ASOC. CH. SEG.</t>
  </si>
  <si>
    <t>TOTALES DEL MES</t>
  </si>
  <si>
    <t>SALDO ANTERIOR</t>
  </si>
  <si>
    <t>SUMAS</t>
  </si>
  <si>
    <t xml:space="preserve">                              INFORME TESORERIA NACIONAL</t>
  </si>
  <si>
    <t>TESORERIA GENERAL DE LA REPUBLICA</t>
  </si>
  <si>
    <t>DEPARTAMENTO GREMIAL</t>
  </si>
  <si>
    <t>OTROS</t>
  </si>
  <si>
    <t>AFP PROVIDA</t>
  </si>
  <si>
    <t>IMPUESTOS</t>
  </si>
  <si>
    <t xml:space="preserve">TELEFONICA CTC </t>
  </si>
  <si>
    <t>ASOC. REGIONAL CHILLAN</t>
  </si>
  <si>
    <t>CORPORACION ADMINISTRATIVA</t>
  </si>
  <si>
    <t>CESANTIA</t>
  </si>
  <si>
    <t>ASOC. REGIONAL LA SERENA</t>
  </si>
  <si>
    <t>SALDO ANTERIOR   $</t>
  </si>
  <si>
    <t>ASOC. REGIONAL IQUIQUE</t>
  </si>
  <si>
    <t>ASOC. REGIONAL TEMUCO</t>
  </si>
  <si>
    <t>ASOC. REGIONAL PUERTO MONTT</t>
  </si>
  <si>
    <t>ASOC. REGIONAL ANTOFAGASTA</t>
  </si>
  <si>
    <t>SOCIOS</t>
  </si>
  <si>
    <t>ASOC. REGIONAL ARICA</t>
  </si>
  <si>
    <t>ASOC. REGIONAL COPIAPO</t>
  </si>
  <si>
    <t>ASOC. REGIONAL VALPARAISO</t>
  </si>
  <si>
    <t>ASOC. REGIONAL SANTIAGO</t>
  </si>
  <si>
    <t>CORTE SUPREMA</t>
  </si>
  <si>
    <t>ASOC. REGIONAL SAN MIGUEL</t>
  </si>
  <si>
    <t>ASOC. REGIONAL RANCAGUA</t>
  </si>
  <si>
    <t>ASOC. REGIONAL TALCA</t>
  </si>
  <si>
    <t>ASOC. REGIONAL CONCEPCION</t>
  </si>
  <si>
    <t>ASOC. REGIONAL VALDIVIA</t>
  </si>
  <si>
    <t>ASOC. REGIONAL COYHAIQUE</t>
  </si>
  <si>
    <t>ASOC. REGIONAL PUNTA ARENAS</t>
  </si>
  <si>
    <t>DETALLE</t>
  </si>
  <si>
    <t xml:space="preserve">CAJA COMPENSACION </t>
  </si>
  <si>
    <t>AYUDA REGIONAL</t>
  </si>
  <si>
    <t>TOTAL AYUDAS SOLIDARIAS</t>
  </si>
  <si>
    <t>PEDRO CACERES</t>
  </si>
  <si>
    <t>YEHIMY LLAMOCA</t>
  </si>
  <si>
    <t>ASOCIACION REGIONAL</t>
  </si>
  <si>
    <t xml:space="preserve">FECHA </t>
  </si>
  <si>
    <t>NOMBRE</t>
  </si>
  <si>
    <t>MONTO</t>
  </si>
  <si>
    <t>HONORARIOS</t>
  </si>
  <si>
    <t>SAESA S.A.</t>
  </si>
  <si>
    <t xml:space="preserve">DETALLE RADIO TAXI </t>
  </si>
  <si>
    <t>MARIA VALERIA</t>
  </si>
  <si>
    <t>AFP PLANVITAL</t>
  </si>
  <si>
    <t>ISAPRE BANMEDICA</t>
  </si>
  <si>
    <t>ELBA QUEZADA</t>
  </si>
  <si>
    <t xml:space="preserve">CYNTHIA PAIRO </t>
  </si>
  <si>
    <t>JUAN CIRO LOPEZ</t>
  </si>
  <si>
    <t>PABLO MOLINA</t>
  </si>
  <si>
    <t>AFP CUPRUM</t>
  </si>
  <si>
    <t>MARIA CRISTINA CABRERA MUÑOZ</t>
  </si>
  <si>
    <t>ENEL</t>
  </si>
  <si>
    <t>IPS</t>
  </si>
  <si>
    <t>WALESKA AGUILAR</t>
  </si>
  <si>
    <t>AFP HABITAT</t>
  </si>
  <si>
    <t>AFP MODELO</t>
  </si>
  <si>
    <t xml:space="preserve"> ,</t>
  </si>
  <si>
    <t>N° VALE</t>
  </si>
  <si>
    <t>CYNTHIA PAIRO</t>
  </si>
  <si>
    <t>ANA CANEO</t>
  </si>
  <si>
    <t>AGUAS ANDINAS</t>
  </si>
  <si>
    <t>ISAPRE CRUZ BLANCA</t>
  </si>
  <si>
    <t>ISAPRE CONSALUD</t>
  </si>
  <si>
    <t xml:space="preserve">           Tesorería Nacional</t>
  </si>
  <si>
    <t>JULIO HORMAZABAL</t>
  </si>
  <si>
    <t>DIRECTV</t>
  </si>
  <si>
    <t>RICARDO ALVAREZ</t>
  </si>
  <si>
    <t>REGIONAL VALDIVIA</t>
  </si>
  <si>
    <t>CARLOS CACERES</t>
  </si>
  <si>
    <t xml:space="preserve">JULIETA VEGA </t>
  </si>
  <si>
    <t>MARIANELA HERRERA</t>
  </si>
  <si>
    <t>KARIN MENDOZA</t>
  </si>
  <si>
    <t>ISAPRE COLMENA</t>
  </si>
  <si>
    <t>GUILLERMO AGUILAR</t>
  </si>
  <si>
    <t>VICTOR SALAZAR</t>
  </si>
  <si>
    <t>CHILQUINTA S.A.</t>
  </si>
  <si>
    <t>CYNTHIA PAIRO BOLAÑOS</t>
  </si>
  <si>
    <t>COÑARIPE</t>
  </si>
  <si>
    <t>COMITÉ DE AGUA POTABLE MEHUIN</t>
  </si>
  <si>
    <t>HOGAR</t>
  </si>
  <si>
    <t xml:space="preserve">SUELDOS </t>
  </si>
  <si>
    <t>Estadía</t>
  </si>
  <si>
    <t>CRISTINA GUESALAGA</t>
  </si>
  <si>
    <t>MEHUIN</t>
  </si>
  <si>
    <t>CARLOS VERDUGO</t>
  </si>
  <si>
    <t>MARIA HUENULLAN</t>
  </si>
  <si>
    <t>CRISTINA SILVA</t>
  </si>
  <si>
    <t>Tv Cable</t>
  </si>
  <si>
    <t>Consumo luz</t>
  </si>
  <si>
    <t>Telefono e internet Secretaria y Hogar</t>
  </si>
  <si>
    <t>Pago celular institucional</t>
  </si>
  <si>
    <t>Telefono Tesoreria</t>
  </si>
  <si>
    <t>Consumo Agua</t>
  </si>
  <si>
    <t>Consumo Luz Loncura</t>
  </si>
  <si>
    <t>Estadia</t>
  </si>
  <si>
    <t>MOVISTAR S,A</t>
  </si>
  <si>
    <t>Internet Loncura</t>
  </si>
  <si>
    <t>Consumo agua Mehuin</t>
  </si>
  <si>
    <t>HOGAR C</t>
  </si>
  <si>
    <t>REGIONAL SANTIAGO</t>
  </si>
  <si>
    <t xml:space="preserve">Deposito impto. </t>
  </si>
  <si>
    <t>TURISMO ESQUERRE</t>
  </si>
  <si>
    <t xml:space="preserve">PRODESA </t>
  </si>
  <si>
    <t>MAPFRE</t>
  </si>
  <si>
    <t>Seguro incendio</t>
  </si>
  <si>
    <t xml:space="preserve">Gastos asistencia Convención </t>
  </si>
  <si>
    <t>METLIFE SEGUROS</t>
  </si>
  <si>
    <t>CONVENCION NACIONAL</t>
  </si>
  <si>
    <t>Reembolso asistencia convencion</t>
  </si>
  <si>
    <t>Abril</t>
  </si>
  <si>
    <t>Viático celular abril</t>
  </si>
  <si>
    <t>MAYO 2022</t>
  </si>
  <si>
    <t>CHRISTIAN GUIÑEZ</t>
  </si>
  <si>
    <t>JOSE ALVAREZ</t>
  </si>
  <si>
    <t>Diferencia descuento abril Valdivia</t>
  </si>
  <si>
    <t>REGIONAL TEMUCO</t>
  </si>
  <si>
    <t>Deposito cotizaciones abril</t>
  </si>
  <si>
    <t>Descuento mayo</t>
  </si>
  <si>
    <t>Descuento no efectuado mayo</t>
  </si>
  <si>
    <t>ISABEL MALDONADO</t>
  </si>
  <si>
    <t>REGIONAL ACONCAGUA</t>
  </si>
  <si>
    <t>Devolucion traspaso marzo</t>
  </si>
  <si>
    <t>CONTRIBUCIONES</t>
  </si>
  <si>
    <t>Contribuciones</t>
  </si>
  <si>
    <t>Servicios audiovisulaes  Abril</t>
  </si>
  <si>
    <t>Gtos. Asistencia Convención</t>
  </si>
  <si>
    <t>Reembolso gastos varios inventario hogar</t>
  </si>
  <si>
    <t>Transmision cconvención</t>
  </si>
  <si>
    <t>Consumo luz Coñaripe y Mehuin mayo</t>
  </si>
  <si>
    <t>Asistencia Convención</t>
  </si>
  <si>
    <t>Asesoria Juridica abril</t>
  </si>
  <si>
    <t>SERVICIO TECNICO QUINTERO</t>
  </si>
  <si>
    <t>Mantención Extintores Loncura</t>
  </si>
  <si>
    <t>Desayunos y varios</t>
  </si>
  <si>
    <t>Reemplazo encargado hogar abril</t>
  </si>
  <si>
    <t>Pagos convenio Regional abril</t>
  </si>
  <si>
    <t>DIMERC</t>
  </si>
  <si>
    <t>Compra Papel Dispensador</t>
  </si>
  <si>
    <t>DAVIS RIQUELME</t>
  </si>
  <si>
    <t>Atención Reunion Directorio Abril</t>
  </si>
  <si>
    <t xml:space="preserve">Pago cotizaciones abril </t>
  </si>
  <si>
    <t>Retención 10% y imptos. Unico abril</t>
  </si>
  <si>
    <t xml:space="preserve">Regalo cumpleaños </t>
  </si>
  <si>
    <t>NAYARET QUEVEDO</t>
  </si>
  <si>
    <t>Gastos asistencia senado</t>
  </si>
  <si>
    <t xml:space="preserve">Recarga Coñaripe </t>
  </si>
  <si>
    <t>MANUEL ALVARADO</t>
  </si>
  <si>
    <t>Pasaje David Riquelme Mayo</t>
  </si>
  <si>
    <t>Pasaje Claudia Oporto Reunion Mayo</t>
  </si>
  <si>
    <t>Pasaje Raquel Arias Reunion  Mayo</t>
  </si>
  <si>
    <t>Pasaje Lilian Huanca Reunion  Mayo</t>
  </si>
  <si>
    <t>Aseosria Abril y Mayo</t>
  </si>
  <si>
    <t>Envio documentos Guillermo Quiroz</t>
  </si>
  <si>
    <t>Pago seguro Hogar y Loncura mayo</t>
  </si>
  <si>
    <t>Pasaje Marcela Parra Consultivo mayo</t>
  </si>
  <si>
    <t>Pasaje Manuel Alvarado mayo</t>
  </si>
  <si>
    <t>50% internet y celular teletrabajo mayo</t>
  </si>
  <si>
    <t>Mayo</t>
  </si>
  <si>
    <t>Aseo y mantención mayo</t>
  </si>
  <si>
    <t>Seguro directores abril</t>
  </si>
  <si>
    <t>50% internet teletrabajo mayo</t>
  </si>
  <si>
    <t>Mantención cabaña Coñaripe mayo</t>
  </si>
  <si>
    <t>Mantención cabaña Mehuin Mayo</t>
  </si>
  <si>
    <t>Mantención Jardin Loncura mayo</t>
  </si>
  <si>
    <t xml:space="preserve">Reembolso gastos Zoom </t>
  </si>
  <si>
    <t>DIMERC S.A</t>
  </si>
  <si>
    <t>Articulos oficina secretaria</t>
  </si>
  <si>
    <t>Asesoria directorio mayo</t>
  </si>
  <si>
    <t>Modem Plan Internet Salon 3 er piso</t>
  </si>
  <si>
    <t>Pasaje Lilian Huanca 9 de Mayo</t>
  </si>
  <si>
    <t>SALDO EN CTA. CTE. AL 31/05/2022</t>
  </si>
  <si>
    <t>SANTIAGO, 15/06/2022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</si>
</sst>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$&quot;* #,##0.00_-;\-&quot;$&quot;* #,##0.00_-;_-&quot;$&quot;* &quot;-&quot;??_-;_-@_-"/>
    <numFmt numFmtId="181" formatCode="#,##0;[Red]#,##0"/>
    <numFmt numFmtId="182" formatCode="&quot;$&quot;#,##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medium"/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4999699890613556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rgb="FF993300"/>
      </left>
      <right style="medium">
        <color rgb="FF993300"/>
      </right>
      <top>
        <color indexed="63"/>
      </top>
      <bottom>
        <color indexed="63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rgb="FF9933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rgb="FF993300"/>
      </left>
      <right style="medium">
        <color rgb="FF993300"/>
      </right>
      <top style="medium">
        <color rgb="FF993300"/>
      </top>
      <bottom>
        <color indexed="63"/>
      </bottom>
    </border>
    <border>
      <left>
        <color indexed="63"/>
      </left>
      <right style="medium">
        <color rgb="FF993300"/>
      </right>
      <top style="medium">
        <color rgb="FF993300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 style="medium">
        <color rgb="FF993300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theme="5" tint="-0.4999699890613556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 style="thick">
        <color theme="5" tint="-0.4999699890613556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>
        <color indexed="63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>
        <color indexed="63"/>
      </top>
      <bottom style="thick">
        <color theme="5" tint="-0.499969989061355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theme="5" tint="-0.4999699890613556"/>
      </bottom>
    </border>
    <border>
      <left>
        <color indexed="63"/>
      </left>
      <right style="medium">
        <color theme="5" tint="-0.4999699890613556"/>
      </right>
      <top>
        <color indexed="63"/>
      </top>
      <bottom>
        <color indexed="63"/>
      </bottom>
    </border>
    <border>
      <left style="medium">
        <color rgb="FF993300"/>
      </left>
      <right style="medium">
        <color theme="5" tint="-0.4999699890613556"/>
      </right>
      <top>
        <color indexed="63"/>
      </top>
      <bottom>
        <color indexed="63"/>
      </bottom>
    </border>
    <border>
      <left style="medium">
        <color theme="5" tint="-0.4999699890613556"/>
      </left>
      <right style="medium">
        <color theme="5" tint="-0.4999699890613556"/>
      </right>
      <top>
        <color indexed="63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 style="medium">
        <color theme="5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1" fontId="2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81" fontId="8" fillId="32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81" fontId="3" fillId="0" borderId="12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181" fontId="13" fillId="0" borderId="11" xfId="0" applyNumberFormat="1" applyFont="1" applyFill="1" applyBorder="1" applyAlignment="1">
      <alignment/>
    </xf>
    <xf numFmtId="181" fontId="13" fillId="0" borderId="11" xfId="0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 horizontal="center"/>
    </xf>
    <xf numFmtId="181" fontId="9" fillId="0" borderId="0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181" fontId="6" fillId="34" borderId="17" xfId="0" applyNumberFormat="1" applyFont="1" applyFill="1" applyBorder="1" applyAlignment="1">
      <alignment horizontal="right"/>
    </xf>
    <xf numFmtId="181" fontId="6" fillId="34" borderId="14" xfId="0" applyNumberFormat="1" applyFont="1" applyFill="1" applyBorder="1" applyAlignment="1">
      <alignment horizontal="right"/>
    </xf>
    <xf numFmtId="0" fontId="6" fillId="34" borderId="18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181" fontId="8" fillId="33" borderId="22" xfId="0" applyNumberFormat="1" applyFont="1" applyFill="1" applyBorder="1" applyAlignment="1">
      <alignment/>
    </xf>
    <xf numFmtId="181" fontId="2" fillId="0" borderId="23" xfId="0" applyNumberFormat="1" applyFont="1" applyFill="1" applyBorder="1" applyAlignment="1">
      <alignment/>
    </xf>
    <xf numFmtId="181" fontId="4" fillId="0" borderId="23" xfId="0" applyNumberFormat="1" applyFont="1" applyFill="1" applyBorder="1" applyAlignment="1">
      <alignment/>
    </xf>
    <xf numFmtId="0" fontId="8" fillId="32" borderId="24" xfId="0" applyFont="1" applyFill="1" applyBorder="1" applyAlignment="1">
      <alignment/>
    </xf>
    <xf numFmtId="0" fontId="7" fillId="32" borderId="25" xfId="0" applyFont="1" applyFill="1" applyBorder="1" applyAlignment="1">
      <alignment/>
    </xf>
    <xf numFmtId="0" fontId="8" fillId="32" borderId="10" xfId="0" applyFont="1" applyFill="1" applyBorder="1" applyAlignment="1">
      <alignment horizontal="center" wrapText="1"/>
    </xf>
    <xf numFmtId="181" fontId="4" fillId="32" borderId="26" xfId="0" applyNumberFormat="1" applyFont="1" applyFill="1" applyBorder="1" applyAlignment="1">
      <alignment/>
    </xf>
    <xf numFmtId="0" fontId="7" fillId="32" borderId="26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181" fontId="3" fillId="33" borderId="14" xfId="0" applyNumberFormat="1" applyFont="1" applyFill="1" applyBorder="1" applyAlignment="1">
      <alignment/>
    </xf>
    <xf numFmtId="3" fontId="8" fillId="33" borderId="22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6" fillId="34" borderId="17" xfId="0" applyFont="1" applyFill="1" applyBorder="1" applyAlignment="1">
      <alignment horizontal="center"/>
    </xf>
    <xf numFmtId="181" fontId="6" fillId="34" borderId="27" xfId="0" applyNumberFormat="1" applyFont="1" applyFill="1" applyBorder="1" applyAlignment="1">
      <alignment horizontal="right"/>
    </xf>
    <xf numFmtId="0" fontId="6" fillId="34" borderId="28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187" fontId="8" fillId="33" borderId="22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17" fontId="2" fillId="0" borderId="0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6" fillId="34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1" fontId="3" fillId="0" borderId="29" xfId="0" applyNumberFormat="1" applyFont="1" applyFill="1" applyBorder="1" applyAlignment="1">
      <alignment/>
    </xf>
    <xf numFmtId="181" fontId="3" fillId="0" borderId="33" xfId="0" applyNumberFormat="1" applyFont="1" applyFill="1" applyBorder="1" applyAlignment="1">
      <alignment/>
    </xf>
    <xf numFmtId="181" fontId="2" fillId="0" borderId="33" xfId="0" applyNumberFormat="1" applyFont="1" applyFill="1" applyBorder="1" applyAlignment="1">
      <alignment/>
    </xf>
    <xf numFmtId="181" fontId="3" fillId="0" borderId="34" xfId="0" applyNumberFormat="1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181" fontId="3" fillId="0" borderId="36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81" fontId="3" fillId="0" borderId="37" xfId="0" applyNumberFormat="1" applyFont="1" applyFill="1" applyBorder="1" applyAlignment="1">
      <alignment horizontal="center"/>
    </xf>
    <xf numFmtId="181" fontId="3" fillId="0" borderId="33" xfId="0" applyNumberFormat="1" applyFont="1" applyFill="1" applyBorder="1" applyAlignment="1">
      <alignment horizontal="center"/>
    </xf>
    <xf numFmtId="181" fontId="4" fillId="0" borderId="33" xfId="0" applyNumberFormat="1" applyFont="1" applyFill="1" applyBorder="1" applyAlignment="1">
      <alignment/>
    </xf>
    <xf numFmtId="181" fontId="4" fillId="0" borderId="34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2" fillId="0" borderId="41" xfId="0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181" fontId="16" fillId="0" borderId="0" xfId="0" applyNumberFormat="1" applyFont="1" applyFill="1" applyBorder="1" applyAlignment="1">
      <alignment/>
    </xf>
    <xf numFmtId="0" fontId="8" fillId="33" borderId="42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16" fontId="0" fillId="0" borderId="43" xfId="0" applyNumberFormat="1" applyBorder="1" applyAlignment="1">
      <alignment/>
    </xf>
    <xf numFmtId="16" fontId="0" fillId="0" borderId="44" xfId="0" applyNumberFormat="1" applyBorder="1" applyAlignment="1">
      <alignment/>
    </xf>
    <xf numFmtId="16" fontId="0" fillId="0" borderId="45" xfId="0" applyNumberFormat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3" fontId="8" fillId="33" borderId="36" xfId="0" applyNumberFormat="1" applyFont="1" applyFill="1" applyBorder="1" applyAlignment="1">
      <alignment horizontal="center"/>
    </xf>
    <xf numFmtId="181" fontId="4" fillId="0" borderId="41" xfId="0" applyNumberFormat="1" applyFont="1" applyFill="1" applyBorder="1" applyAlignment="1">
      <alignment/>
    </xf>
    <xf numFmtId="181" fontId="3" fillId="0" borderId="30" xfId="0" applyNumberFormat="1" applyFont="1" applyFill="1" applyBorder="1" applyAlignment="1">
      <alignment/>
    </xf>
    <xf numFmtId="181" fontId="3" fillId="0" borderId="46" xfId="0" applyNumberFormat="1" applyFont="1" applyFill="1" applyBorder="1" applyAlignment="1">
      <alignment/>
    </xf>
    <xf numFmtId="181" fontId="2" fillId="0" borderId="41" xfId="0" applyNumberFormat="1" applyFont="1" applyFill="1" applyBorder="1" applyAlignment="1">
      <alignment/>
    </xf>
    <xf numFmtId="181" fontId="3" fillId="0" borderId="41" xfId="0" applyNumberFormat="1" applyFont="1" applyFill="1" applyBorder="1" applyAlignment="1">
      <alignment/>
    </xf>
    <xf numFmtId="181" fontId="3" fillId="0" borderId="47" xfId="0" applyNumberFormat="1" applyFont="1" applyFill="1" applyBorder="1" applyAlignment="1">
      <alignment/>
    </xf>
    <xf numFmtId="181" fontId="3" fillId="0" borderId="48" xfId="0" applyNumberFormat="1" applyFont="1" applyFill="1" applyBorder="1" applyAlignment="1">
      <alignment/>
    </xf>
    <xf numFmtId="181" fontId="2" fillId="0" borderId="48" xfId="0" applyNumberFormat="1" applyFont="1" applyFill="1" applyBorder="1" applyAlignment="1">
      <alignment/>
    </xf>
    <xf numFmtId="181" fontId="2" fillId="0" borderId="47" xfId="0" applyNumberFormat="1" applyFont="1" applyFill="1" applyBorder="1" applyAlignment="1">
      <alignment/>
    </xf>
    <xf numFmtId="181" fontId="2" fillId="0" borderId="39" xfId="0" applyNumberFormat="1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17" fontId="2" fillId="0" borderId="3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1200150</xdr:colOff>
      <xdr:row>3</xdr:row>
      <xdr:rowOff>28575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rcRect t="11503"/>
        <a:stretch>
          <a:fillRect/>
        </a:stretch>
      </xdr:blipFill>
      <xdr:spPr>
        <a:xfrm>
          <a:off x="19050" y="0"/>
          <a:ext cx="1323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2</xdr:col>
      <xdr:colOff>76200</xdr:colOff>
      <xdr:row>1</xdr:row>
      <xdr:rowOff>257175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1171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31" sqref="A3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J161"/>
  <sheetViews>
    <sheetView tabSelected="1" zoomScalePageLayoutView="0" workbookViewId="0" topLeftCell="A1">
      <pane ySplit="7" topLeftCell="A126" activePane="bottomLeft" state="frozen"/>
      <selection pane="topLeft" activeCell="A1" sqref="A1"/>
      <selection pane="bottomLeft" activeCell="B142" sqref="B142"/>
    </sheetView>
  </sheetViews>
  <sheetFormatPr defaultColWidth="11.421875" defaultRowHeight="12.75" outlineLevelRow="2"/>
  <cols>
    <col min="1" max="1" width="2.140625" style="1" customWidth="1"/>
    <col min="2" max="2" width="42.57421875" style="1" customWidth="1"/>
    <col min="3" max="3" width="7.28125" style="1" hidden="1" customWidth="1"/>
    <col min="4" max="4" width="37.8515625" style="1" customWidth="1"/>
    <col min="5" max="5" width="14.140625" style="1" customWidth="1"/>
    <col min="6" max="6" width="13.421875" style="1" customWidth="1"/>
    <col min="7" max="7" width="14.00390625" style="1" customWidth="1"/>
    <col min="8" max="16384" width="11.421875" style="1" customWidth="1"/>
  </cols>
  <sheetData>
    <row r="1" ht="11.25"/>
    <row r="2" ht="11.25"/>
    <row r="3" ht="11.25"/>
    <row r="4" spans="2:7" ht="22.5" customHeight="1">
      <c r="B4" s="25" t="s">
        <v>16</v>
      </c>
      <c r="C4" s="2"/>
      <c r="D4" s="2"/>
      <c r="E4" s="3"/>
      <c r="F4" s="4"/>
      <c r="G4" s="4"/>
    </row>
    <row r="5" spans="2:7" ht="14.25">
      <c r="B5" s="26" t="s">
        <v>127</v>
      </c>
      <c r="C5" s="10"/>
      <c r="D5" s="10"/>
      <c r="E5" s="3"/>
      <c r="F5" s="4"/>
      <c r="G5" s="4"/>
    </row>
    <row r="6" spans="4:7" ht="12.75" thickBot="1">
      <c r="D6" s="20"/>
      <c r="E6" s="27"/>
      <c r="F6" s="28" t="s">
        <v>27</v>
      </c>
      <c r="G6" s="27">
        <v>248297557</v>
      </c>
    </row>
    <row r="7" spans="2:7" ht="24" customHeight="1" thickBot="1">
      <c r="B7" s="75" t="s">
        <v>0</v>
      </c>
      <c r="C7" s="57" t="s">
        <v>32</v>
      </c>
      <c r="D7" s="31" t="s">
        <v>45</v>
      </c>
      <c r="E7" s="75"/>
      <c r="F7" s="31" t="s">
        <v>1</v>
      </c>
      <c r="G7" s="31" t="s">
        <v>2</v>
      </c>
    </row>
    <row r="8" spans="1:7" ht="12" outlineLevel="2">
      <c r="A8" s="5"/>
      <c r="B8" s="84" t="s">
        <v>3</v>
      </c>
      <c r="C8" s="58"/>
      <c r="D8" s="72"/>
      <c r="E8" s="76"/>
      <c r="F8" s="74"/>
      <c r="G8" s="21"/>
    </row>
    <row r="9" spans="1:7" ht="11.25" outlineLevel="2">
      <c r="A9" s="5"/>
      <c r="B9" s="85"/>
      <c r="C9" s="58"/>
      <c r="D9" s="72"/>
      <c r="E9" s="77"/>
      <c r="F9" s="29"/>
      <c r="G9" s="22"/>
    </row>
    <row r="10" spans="1:7" ht="15.75" customHeight="1" outlineLevel="2">
      <c r="A10" s="5"/>
      <c r="B10" s="86" t="s">
        <v>4</v>
      </c>
      <c r="C10" s="33"/>
      <c r="D10" s="11"/>
      <c r="E10" s="23"/>
      <c r="F10" s="30">
        <f>SUM(E11:E29)</f>
        <v>24909940</v>
      </c>
      <c r="G10" s="23"/>
    </row>
    <row r="11" spans="1:7" ht="15" customHeight="1" hidden="1" outlineLevel="2">
      <c r="A11" s="5"/>
      <c r="B11" s="65" t="s">
        <v>33</v>
      </c>
      <c r="C11" s="32">
        <v>81</v>
      </c>
      <c r="D11" s="73"/>
      <c r="E11" s="70">
        <v>486000</v>
      </c>
      <c r="F11" s="6"/>
      <c r="G11" s="23"/>
    </row>
    <row r="12" spans="1:7" ht="15" customHeight="1" hidden="1" outlineLevel="2">
      <c r="A12" s="5"/>
      <c r="B12" s="65" t="s">
        <v>28</v>
      </c>
      <c r="C12" s="32">
        <v>103</v>
      </c>
      <c r="D12" s="73"/>
      <c r="E12" s="70">
        <v>618000</v>
      </c>
      <c r="F12" s="6"/>
      <c r="G12" s="23"/>
    </row>
    <row r="13" spans="1:7" ht="15" customHeight="1" hidden="1" outlineLevel="2">
      <c r="A13" s="5"/>
      <c r="B13" s="65" t="s">
        <v>31</v>
      </c>
      <c r="C13" s="32">
        <f>220+1</f>
        <v>221</v>
      </c>
      <c r="D13" s="73"/>
      <c r="E13" s="70">
        <f>1320000+6400</f>
        <v>1326400</v>
      </c>
      <c r="F13" s="6"/>
      <c r="G13" s="23"/>
    </row>
    <row r="14" spans="1:7" ht="15" customHeight="1" hidden="1" outlineLevel="2">
      <c r="A14" s="5"/>
      <c r="B14" s="65" t="s">
        <v>34</v>
      </c>
      <c r="C14" s="32">
        <v>151</v>
      </c>
      <c r="D14" s="73"/>
      <c r="E14" s="70">
        <v>962000</v>
      </c>
      <c r="F14" s="6"/>
      <c r="G14" s="23"/>
    </row>
    <row r="15" spans="1:7" ht="15" customHeight="1" hidden="1" outlineLevel="2">
      <c r="A15" s="5"/>
      <c r="B15" s="65" t="s">
        <v>26</v>
      </c>
      <c r="C15" s="32">
        <v>154</v>
      </c>
      <c r="D15" s="73"/>
      <c r="E15" s="70">
        <v>924000</v>
      </c>
      <c r="F15" s="6"/>
      <c r="G15" s="23"/>
    </row>
    <row r="16" spans="1:7" ht="15" customHeight="1" hidden="1" outlineLevel="2">
      <c r="A16" s="5"/>
      <c r="B16" s="65" t="s">
        <v>35</v>
      </c>
      <c r="C16" s="32">
        <f>1+440+1</f>
        <v>442</v>
      </c>
      <c r="D16" s="73"/>
      <c r="E16" s="70">
        <f>2640000+3300</f>
        <v>2643300</v>
      </c>
      <c r="F16" s="6"/>
      <c r="G16" s="23"/>
    </row>
    <row r="17" spans="1:7" ht="15" customHeight="1" hidden="1" outlineLevel="2">
      <c r="A17" s="5"/>
      <c r="B17" s="65" t="s">
        <v>36</v>
      </c>
      <c r="C17" s="32">
        <f>1+1+1+1+1+532</f>
        <v>537</v>
      </c>
      <c r="D17" s="73"/>
      <c r="E17" s="70">
        <f>2300+27000+2200+2200+44800+3192000</f>
        <v>3270500</v>
      </c>
      <c r="F17" s="6"/>
      <c r="G17" s="23"/>
    </row>
    <row r="18" spans="1:7" ht="15" customHeight="1" hidden="1" outlineLevel="2">
      <c r="A18" s="5"/>
      <c r="B18" s="65" t="s">
        <v>37</v>
      </c>
      <c r="C18" s="32">
        <v>62</v>
      </c>
      <c r="D18" s="73"/>
      <c r="E18" s="70">
        <v>372000</v>
      </c>
      <c r="F18" s="6"/>
      <c r="G18" s="23"/>
    </row>
    <row r="19" spans="1:7" ht="15" customHeight="1" hidden="1" outlineLevel="2">
      <c r="A19" s="5"/>
      <c r="B19" s="65" t="s">
        <v>24</v>
      </c>
      <c r="C19" s="32">
        <v>149</v>
      </c>
      <c r="D19" s="73"/>
      <c r="E19" s="70">
        <v>894000</v>
      </c>
      <c r="F19" s="6"/>
      <c r="G19" s="23"/>
    </row>
    <row r="20" spans="1:7" ht="15" customHeight="1" hidden="1" outlineLevel="2">
      <c r="A20" s="5"/>
      <c r="B20" s="65" t="s">
        <v>38</v>
      </c>
      <c r="C20" s="32">
        <f>1+361+1</f>
        <v>363</v>
      </c>
      <c r="D20" s="73"/>
      <c r="E20" s="70">
        <f>2200+2166000+6000</f>
        <v>2174200</v>
      </c>
      <c r="F20" s="6"/>
      <c r="G20" s="23"/>
    </row>
    <row r="21" spans="1:7" ht="15" customHeight="1" hidden="1" outlineLevel="2">
      <c r="A21" s="5"/>
      <c r="B21" s="65" t="s">
        <v>39</v>
      </c>
      <c r="C21" s="32">
        <f>1</f>
        <v>1</v>
      </c>
      <c r="D21" s="73"/>
      <c r="E21" s="70">
        <f>2300+900000</f>
        <v>902300</v>
      </c>
      <c r="F21" s="6"/>
      <c r="G21" s="23"/>
    </row>
    <row r="22" spans="1:7" ht="15" customHeight="1" hidden="1" outlineLevel="2">
      <c r="A22" s="5"/>
      <c r="B22" s="65" t="s">
        <v>40</v>
      </c>
      <c r="C22" s="32">
        <f>296+1</f>
        <v>297</v>
      </c>
      <c r="D22" s="73"/>
      <c r="E22" s="70">
        <f>1776000+2200</f>
        <v>1778200</v>
      </c>
      <c r="F22" s="6"/>
      <c r="G22" s="23"/>
    </row>
    <row r="23" spans="1:7" ht="15" customHeight="1" hidden="1" outlineLevel="2">
      <c r="A23" s="5"/>
      <c r="B23" s="65" t="s">
        <v>23</v>
      </c>
      <c r="C23" s="32">
        <v>103</v>
      </c>
      <c r="D23" s="73"/>
      <c r="E23" s="70">
        <v>618000</v>
      </c>
      <c r="F23" s="6"/>
      <c r="G23" s="23"/>
    </row>
    <row r="24" spans="1:7" ht="15" customHeight="1" hidden="1" outlineLevel="2">
      <c r="A24" s="5"/>
      <c r="B24" s="65" t="s">
        <v>41</v>
      </c>
      <c r="C24" s="32">
        <f>1+1+1+1+400+1</f>
        <v>405</v>
      </c>
      <c r="D24" s="73" t="s">
        <v>7</v>
      </c>
      <c r="E24" s="70">
        <f>2120+8800+13200+2120+2400000+2200</f>
        <v>2428440</v>
      </c>
      <c r="F24" s="6"/>
      <c r="G24" s="23"/>
    </row>
    <row r="25" spans="1:7" ht="15" customHeight="1" hidden="1" outlineLevel="2">
      <c r="A25" s="5"/>
      <c r="B25" s="65" t="s">
        <v>29</v>
      </c>
      <c r="C25" s="32">
        <f>1+268+1</f>
        <v>270</v>
      </c>
      <c r="D25" s="73"/>
      <c r="E25" s="70">
        <f>9600+1608000+7000</f>
        <v>1624600</v>
      </c>
      <c r="F25" s="6"/>
      <c r="G25" s="23"/>
    </row>
    <row r="26" spans="1:7" ht="15" customHeight="1" hidden="1" outlineLevel="2">
      <c r="A26" s="5"/>
      <c r="B26" s="65" t="s">
        <v>42</v>
      </c>
      <c r="C26" s="32">
        <f>205+1+1</f>
        <v>207</v>
      </c>
      <c r="D26" s="73"/>
      <c r="E26" s="70">
        <f>1230000+6000</f>
        <v>1236000</v>
      </c>
      <c r="F26" s="6"/>
      <c r="G26" s="23"/>
    </row>
    <row r="27" spans="1:7" ht="15" customHeight="1" hidden="1" outlineLevel="2">
      <c r="A27" s="5"/>
      <c r="B27" s="65" t="s">
        <v>30</v>
      </c>
      <c r="C27" s="32">
        <f>207</f>
        <v>207</v>
      </c>
      <c r="D27" s="73"/>
      <c r="E27" s="70">
        <v>1242000</v>
      </c>
      <c r="F27" s="6"/>
      <c r="G27" s="23"/>
    </row>
    <row r="28" spans="1:7" ht="15" customHeight="1" hidden="1" outlineLevel="2">
      <c r="A28" s="5"/>
      <c r="B28" s="65" t="s">
        <v>43</v>
      </c>
      <c r="C28" s="32">
        <v>122</v>
      </c>
      <c r="D28" s="73"/>
      <c r="E28" s="70">
        <f>732000</f>
        <v>732000</v>
      </c>
      <c r="F28" s="6"/>
      <c r="G28" s="23"/>
    </row>
    <row r="29" spans="1:7" ht="14.25" customHeight="1" hidden="1" outlineLevel="2">
      <c r="A29" s="5"/>
      <c r="B29" s="65" t="s">
        <v>44</v>
      </c>
      <c r="C29" s="32">
        <v>113</v>
      </c>
      <c r="D29" s="73"/>
      <c r="E29" s="78">
        <v>678000</v>
      </c>
      <c r="F29" s="6"/>
      <c r="G29" s="23"/>
    </row>
    <row r="30" spans="1:7" ht="12" customHeight="1" outlineLevel="2">
      <c r="A30" s="5"/>
      <c r="B30" s="87"/>
      <c r="C30" s="5"/>
      <c r="D30" s="63"/>
      <c r="E30" s="78"/>
      <c r="F30" s="6"/>
      <c r="G30" s="23"/>
    </row>
    <row r="31" spans="1:7" ht="15" customHeight="1" outlineLevel="2">
      <c r="A31" s="5"/>
      <c r="B31" s="86" t="s">
        <v>5</v>
      </c>
      <c r="C31" s="11"/>
      <c r="D31" s="63"/>
      <c r="E31" s="70"/>
      <c r="F31" s="6"/>
      <c r="G31" s="23"/>
    </row>
    <row r="32" spans="1:7" ht="15" customHeight="1" outlineLevel="2">
      <c r="A32" s="5"/>
      <c r="B32" s="65" t="s">
        <v>95</v>
      </c>
      <c r="C32" s="11"/>
      <c r="D32" s="5" t="s">
        <v>110</v>
      </c>
      <c r="E32" s="70">
        <f>100000+10000+20000+10000+10000+20000+18000+122500+120000+30000+40000+10000+20000+20000+10000+20000+5000</f>
        <v>585500</v>
      </c>
      <c r="F32" s="6"/>
      <c r="G32" s="23"/>
    </row>
    <row r="33" spans="1:7" ht="15" customHeight="1" outlineLevel="2">
      <c r="A33" s="5"/>
      <c r="B33" s="65" t="s">
        <v>115</v>
      </c>
      <c r="C33" s="32"/>
      <c r="D33" s="5" t="s">
        <v>116</v>
      </c>
      <c r="E33" s="70">
        <f>69801+53982+53982+69801+40000</f>
        <v>287566</v>
      </c>
      <c r="F33" s="6"/>
      <c r="G33" s="23"/>
    </row>
    <row r="34" spans="1:7" ht="15" customHeight="1" outlineLevel="2">
      <c r="A34" s="5"/>
      <c r="B34" s="65" t="s">
        <v>83</v>
      </c>
      <c r="C34" s="32"/>
      <c r="D34" s="5" t="s">
        <v>133</v>
      </c>
      <c r="E34" s="70">
        <f>12689702+1992434</f>
        <v>14682136</v>
      </c>
      <c r="F34" s="6"/>
      <c r="G34" s="23"/>
    </row>
    <row r="35" spans="1:7" ht="15" customHeight="1" outlineLevel="2">
      <c r="A35" s="5"/>
      <c r="B35" s="65" t="s">
        <v>131</v>
      </c>
      <c r="C35" s="32"/>
      <c r="D35" s="5" t="s">
        <v>132</v>
      </c>
      <c r="E35" s="70">
        <v>163212</v>
      </c>
      <c r="F35" s="6"/>
      <c r="G35" s="23"/>
    </row>
    <row r="36" spans="1:7" ht="15" customHeight="1" outlineLevel="2">
      <c r="A36" s="5"/>
      <c r="B36" s="65" t="s">
        <v>128</v>
      </c>
      <c r="C36" s="32"/>
      <c r="D36" s="5" t="s">
        <v>130</v>
      </c>
      <c r="E36" s="70">
        <f>2987</f>
        <v>2987</v>
      </c>
      <c r="F36" s="6"/>
      <c r="G36" s="23"/>
    </row>
    <row r="37" spans="1:7" ht="15" customHeight="1" outlineLevel="2">
      <c r="A37" s="5"/>
      <c r="B37" s="65" t="s">
        <v>129</v>
      </c>
      <c r="C37" s="32"/>
      <c r="D37" s="5" t="s">
        <v>130</v>
      </c>
      <c r="E37" s="70">
        <f>40931</f>
        <v>40931</v>
      </c>
      <c r="F37" s="6"/>
      <c r="G37" s="23"/>
    </row>
    <row r="38" spans="1:7" ht="15" customHeight="1" outlineLevel="2">
      <c r="A38" s="5"/>
      <c r="B38" s="65" t="s">
        <v>98</v>
      </c>
      <c r="C38" s="32"/>
      <c r="D38" s="5" t="s">
        <v>134</v>
      </c>
      <c r="E38" s="70">
        <v>31919</v>
      </c>
      <c r="F38" s="6">
        <f>SUM(E32:E38)</f>
        <v>15794251</v>
      </c>
      <c r="G38" s="23"/>
    </row>
    <row r="39" spans="1:7" ht="15" customHeight="1" outlineLevel="2">
      <c r="A39" s="5"/>
      <c r="B39" s="65"/>
      <c r="C39" s="32"/>
      <c r="D39" s="5"/>
      <c r="E39" s="78"/>
      <c r="F39" s="6"/>
      <c r="G39" s="23"/>
    </row>
    <row r="40" spans="1:7" ht="15" customHeight="1" outlineLevel="2">
      <c r="A40" s="5" t="s">
        <v>7</v>
      </c>
      <c r="B40" s="86" t="s">
        <v>8</v>
      </c>
      <c r="C40" s="33"/>
      <c r="D40" s="11"/>
      <c r="E40" s="70"/>
      <c r="F40" s="6"/>
      <c r="G40" s="23"/>
    </row>
    <row r="41" spans="1:7" ht="15" customHeight="1" outlineLevel="2">
      <c r="A41" s="5"/>
      <c r="B41" s="65" t="s">
        <v>99</v>
      </c>
      <c r="C41" s="32"/>
      <c r="D41" s="5" t="s">
        <v>97</v>
      </c>
      <c r="E41" s="70">
        <f>30000+30000</f>
        <v>60000</v>
      </c>
      <c r="F41" s="6"/>
      <c r="G41" s="23"/>
    </row>
    <row r="42" spans="1:7" ht="15" customHeight="1" outlineLevel="2" thickBot="1">
      <c r="A42" s="5"/>
      <c r="B42" s="88" t="s">
        <v>93</v>
      </c>
      <c r="C42" s="33"/>
      <c r="D42" s="61" t="s">
        <v>97</v>
      </c>
      <c r="E42" s="102">
        <f>30000+36000+36000+30000+30000+36000+36000+36000+36000+141000+145500+30000+72000+36000+36000+36000+36000+36000+36000+36000+30000+36000+30000+36000+36000+36000+36000</f>
        <v>1186500</v>
      </c>
      <c r="F42" s="103">
        <f>SUM(E41:E42)</f>
        <v>1246500</v>
      </c>
      <c r="G42" s="104"/>
    </row>
    <row r="43" spans="1:7" ht="12" outlineLevel="2">
      <c r="A43" s="5"/>
      <c r="B43" s="89" t="s">
        <v>9</v>
      </c>
      <c r="C43" s="80"/>
      <c r="D43" s="5"/>
      <c r="E43" s="65"/>
      <c r="F43" s="6"/>
      <c r="G43" s="69"/>
    </row>
    <row r="44" spans="1:7" ht="15" customHeight="1" outlineLevel="2">
      <c r="A44" s="5"/>
      <c r="B44" s="86" t="s">
        <v>10</v>
      </c>
      <c r="C44" s="81"/>
      <c r="D44" s="11"/>
      <c r="E44" s="70"/>
      <c r="F44" s="6"/>
      <c r="G44" s="69"/>
    </row>
    <row r="45" spans="1:7" ht="14.25" customHeight="1" outlineLevel="2">
      <c r="A45" s="5"/>
      <c r="B45" s="65" t="s">
        <v>69</v>
      </c>
      <c r="C45" s="81"/>
      <c r="D45" s="5" t="s">
        <v>158</v>
      </c>
      <c r="E45" s="70">
        <v>25000</v>
      </c>
      <c r="F45" s="6"/>
      <c r="G45" s="69"/>
    </row>
    <row r="46" spans="1:7" ht="14.25" customHeight="1" outlineLevel="2">
      <c r="A46" s="5"/>
      <c r="B46" s="65" t="s">
        <v>181</v>
      </c>
      <c r="C46" s="81"/>
      <c r="D46" s="5" t="s">
        <v>182</v>
      </c>
      <c r="E46" s="70">
        <v>60579</v>
      </c>
      <c r="F46" s="6"/>
      <c r="G46" s="69"/>
    </row>
    <row r="47" spans="1:7" ht="14.25" customHeight="1" outlineLevel="2">
      <c r="A47" s="5"/>
      <c r="B47" s="65" t="s">
        <v>50</v>
      </c>
      <c r="C47" s="81"/>
      <c r="D47" s="5" t="s">
        <v>168</v>
      </c>
      <c r="E47" s="70">
        <v>8154</v>
      </c>
      <c r="F47" s="6"/>
      <c r="G47" s="69"/>
    </row>
    <row r="48" spans="1:7" ht="14.25" customHeight="1" outlineLevel="2">
      <c r="A48" s="5"/>
      <c r="B48" s="65" t="s">
        <v>118</v>
      </c>
      <c r="C48" s="81"/>
      <c r="D48" s="5" t="s">
        <v>169</v>
      </c>
      <c r="E48" s="70">
        <v>22753</v>
      </c>
      <c r="F48" s="6"/>
      <c r="G48" s="69"/>
    </row>
    <row r="49" spans="1:7" ht="14.25" customHeight="1" outlineLevel="2">
      <c r="A49" s="5"/>
      <c r="B49" s="65" t="s">
        <v>58</v>
      </c>
      <c r="C49" s="81"/>
      <c r="D49" s="5" t="s">
        <v>176</v>
      </c>
      <c r="E49" s="70">
        <v>17438</v>
      </c>
      <c r="F49" s="6"/>
      <c r="G49" s="69"/>
    </row>
    <row r="50" spans="1:7" ht="14.25" customHeight="1" outlineLevel="2">
      <c r="A50" s="5"/>
      <c r="B50" s="65" t="s">
        <v>64</v>
      </c>
      <c r="C50" s="81"/>
      <c r="D50" s="5" t="s">
        <v>172</v>
      </c>
      <c r="E50" s="70">
        <f>3995+12234</f>
        <v>16229</v>
      </c>
      <c r="F50" s="6"/>
      <c r="G50" s="69"/>
    </row>
    <row r="51" spans="1:7" ht="14.25" customHeight="1" outlineLevel="2">
      <c r="A51" s="5"/>
      <c r="B51" s="65" t="s">
        <v>74</v>
      </c>
      <c r="C51" s="81"/>
      <c r="D51" s="5" t="s">
        <v>172</v>
      </c>
      <c r="E51" s="70">
        <f>3857+4995</f>
        <v>8852</v>
      </c>
      <c r="F51" s="6"/>
      <c r="G51" s="69"/>
    </row>
    <row r="52" spans="1:7" ht="14.25" customHeight="1" outlineLevel="2">
      <c r="A52" s="5"/>
      <c r="B52" s="65" t="s">
        <v>74</v>
      </c>
      <c r="C52" s="81"/>
      <c r="D52" s="5" t="s">
        <v>184</v>
      </c>
      <c r="E52" s="70">
        <v>2418</v>
      </c>
      <c r="F52" s="6"/>
      <c r="G52" s="69"/>
    </row>
    <row r="53" spans="1:7" ht="14.25" customHeight="1" outlineLevel="2">
      <c r="A53" s="5"/>
      <c r="B53" s="65" t="s">
        <v>122</v>
      </c>
      <c r="C53" s="81"/>
      <c r="D53" s="5" t="s">
        <v>175</v>
      </c>
      <c r="E53" s="70">
        <v>38895</v>
      </c>
      <c r="F53" s="6"/>
      <c r="G53" s="69"/>
    </row>
    <row r="54" spans="1:7" ht="14.25" customHeight="1" outlineLevel="2">
      <c r="A54" s="5"/>
      <c r="B54" s="65" t="s">
        <v>131</v>
      </c>
      <c r="C54" s="81"/>
      <c r="D54" s="5" t="s">
        <v>156</v>
      </c>
      <c r="E54" s="70">
        <v>163212</v>
      </c>
      <c r="F54" s="6"/>
      <c r="G54" s="69"/>
    </row>
    <row r="55" spans="1:7" ht="14.25" customHeight="1" outlineLevel="2">
      <c r="A55" s="5"/>
      <c r="B55" s="65" t="s">
        <v>136</v>
      </c>
      <c r="C55" s="81"/>
      <c r="D55" s="5" t="s">
        <v>137</v>
      </c>
      <c r="E55" s="70">
        <f>247555+5000000+5000000+5000000</f>
        <v>15247555</v>
      </c>
      <c r="F55" s="6"/>
      <c r="G55" s="69"/>
    </row>
    <row r="56" spans="1:7" ht="14.25" customHeight="1" outlineLevel="2">
      <c r="A56" s="5"/>
      <c r="B56" s="65" t="s">
        <v>83</v>
      </c>
      <c r="C56" s="81"/>
      <c r="D56" s="5" t="s">
        <v>151</v>
      </c>
      <c r="E56" s="70">
        <f>1708438+1651775+192395+5000000+5000000+394824+49552</f>
        <v>13996984</v>
      </c>
      <c r="F56" s="6"/>
      <c r="G56" s="69"/>
    </row>
    <row r="57" spans="1:7" ht="15" customHeight="1" outlineLevel="2">
      <c r="A57" s="5"/>
      <c r="B57" s="65" t="s">
        <v>67</v>
      </c>
      <c r="C57" s="81"/>
      <c r="D57" s="5" t="s">
        <v>104</v>
      </c>
      <c r="E57" s="70">
        <v>112312</v>
      </c>
      <c r="F57" s="6"/>
      <c r="G57" s="69"/>
    </row>
    <row r="58" spans="1:7" ht="15" customHeight="1" outlineLevel="2">
      <c r="A58" s="5"/>
      <c r="B58" s="65" t="s">
        <v>76</v>
      </c>
      <c r="C58" s="81"/>
      <c r="D58" s="5" t="s">
        <v>108</v>
      </c>
      <c r="E58" s="70">
        <v>43585</v>
      </c>
      <c r="F58" s="6"/>
      <c r="G58" s="69"/>
    </row>
    <row r="59" spans="1:7" ht="15" customHeight="1" outlineLevel="2">
      <c r="A59" s="5"/>
      <c r="B59" s="65" t="s">
        <v>22</v>
      </c>
      <c r="C59" s="81"/>
      <c r="D59" s="5" t="s">
        <v>105</v>
      </c>
      <c r="E59" s="70">
        <f>67456+36622</f>
        <v>104078</v>
      </c>
      <c r="F59" s="6"/>
      <c r="G59" s="69"/>
    </row>
    <row r="60" spans="1:7" ht="15" customHeight="1" outlineLevel="2">
      <c r="A60" s="5"/>
      <c r="B60" s="65" t="s">
        <v>22</v>
      </c>
      <c r="C60" s="81"/>
      <c r="D60" s="5" t="s">
        <v>107</v>
      </c>
      <c r="E60" s="78">
        <v>33131</v>
      </c>
      <c r="F60" s="6"/>
      <c r="G60" s="69">
        <f>SUM(E45:E60)</f>
        <v>29901175</v>
      </c>
    </row>
    <row r="61" spans="1:7" ht="15" customHeight="1" outlineLevel="2">
      <c r="A61" s="5"/>
      <c r="B61" s="65"/>
      <c r="C61" s="81"/>
      <c r="D61" s="5"/>
      <c r="E61" s="78"/>
      <c r="F61" s="6"/>
      <c r="G61" s="69"/>
    </row>
    <row r="62" spans="1:7" ht="15" customHeight="1" outlineLevel="2">
      <c r="A62" s="5"/>
      <c r="B62" s="86" t="s">
        <v>8</v>
      </c>
      <c r="C62" s="81"/>
      <c r="D62" s="11"/>
      <c r="E62" s="70"/>
      <c r="F62" s="6"/>
      <c r="G62" s="69"/>
    </row>
    <row r="63" spans="1:7" ht="16.5" customHeight="1" outlineLevel="2">
      <c r="A63" s="5"/>
      <c r="B63" s="65" t="s">
        <v>80</v>
      </c>
      <c r="C63" s="81"/>
      <c r="D63" s="5" t="s">
        <v>179</v>
      </c>
      <c r="E63" s="70">
        <v>125000</v>
      </c>
      <c r="F63" s="6"/>
      <c r="G63" s="69"/>
    </row>
    <row r="64" spans="1:7" ht="15" customHeight="1" outlineLevel="2">
      <c r="A64" s="5"/>
      <c r="B64" s="65" t="s">
        <v>94</v>
      </c>
      <c r="C64" s="81"/>
      <c r="D64" s="5" t="s">
        <v>113</v>
      </c>
      <c r="E64" s="70">
        <v>3332</v>
      </c>
      <c r="F64" s="6"/>
      <c r="G64" s="69"/>
    </row>
    <row r="65" spans="1:7" ht="15" customHeight="1" outlineLevel="2">
      <c r="A65" s="5"/>
      <c r="B65" s="113" t="s">
        <v>74</v>
      </c>
      <c r="C65" s="81"/>
      <c r="D65" s="112" t="s">
        <v>161</v>
      </c>
      <c r="E65" s="111">
        <v>5000</v>
      </c>
      <c r="F65" s="107"/>
      <c r="G65" s="107"/>
    </row>
    <row r="66" spans="1:7" ht="14.25" customHeight="1" outlineLevel="2">
      <c r="A66" s="112"/>
      <c r="B66" s="112" t="s">
        <v>147</v>
      </c>
      <c r="C66" s="5"/>
      <c r="D66" s="114" t="s">
        <v>148</v>
      </c>
      <c r="E66" s="110">
        <v>50801</v>
      </c>
      <c r="F66" s="107"/>
      <c r="G66" s="107"/>
    </row>
    <row r="67" spans="1:7" ht="15" customHeight="1" outlineLevel="2">
      <c r="A67" s="5"/>
      <c r="B67" s="113" t="s">
        <v>90</v>
      </c>
      <c r="C67" s="81"/>
      <c r="D67" s="5" t="s">
        <v>177</v>
      </c>
      <c r="E67" s="109">
        <v>300000</v>
      </c>
      <c r="F67" s="6"/>
      <c r="G67" s="108"/>
    </row>
    <row r="68" spans="1:7" ht="15" customHeight="1" outlineLevel="2">
      <c r="A68" s="5"/>
      <c r="B68" s="65" t="s">
        <v>101</v>
      </c>
      <c r="C68" s="81"/>
      <c r="D68" s="5" t="s">
        <v>177</v>
      </c>
      <c r="E68" s="109">
        <v>120000</v>
      </c>
      <c r="F68" s="6"/>
      <c r="G68" s="69"/>
    </row>
    <row r="69" spans="1:7" ht="15" customHeight="1" outlineLevel="2">
      <c r="A69" s="5"/>
      <c r="B69" s="65" t="s">
        <v>85</v>
      </c>
      <c r="C69" s="81"/>
      <c r="D69" s="5" t="s">
        <v>178</v>
      </c>
      <c r="E69" s="70">
        <v>25000</v>
      </c>
      <c r="F69" s="6"/>
      <c r="G69" s="69"/>
    </row>
    <row r="70" spans="1:7" ht="15" customHeight="1" outlineLevel="2">
      <c r="A70" s="5"/>
      <c r="B70" s="65" t="s">
        <v>111</v>
      </c>
      <c r="C70" s="81"/>
      <c r="D70" s="5" t="s">
        <v>112</v>
      </c>
      <c r="E70" s="70">
        <v>19354</v>
      </c>
      <c r="F70" s="6"/>
      <c r="G70" s="69"/>
    </row>
    <row r="71" spans="1:7" ht="15" customHeight="1" outlineLevel="2">
      <c r="A71" s="5"/>
      <c r="B71" s="65" t="s">
        <v>91</v>
      </c>
      <c r="C71" s="81"/>
      <c r="D71" s="5" t="s">
        <v>109</v>
      </c>
      <c r="E71" s="70">
        <v>203089</v>
      </c>
      <c r="F71" s="6"/>
      <c r="G71" s="69"/>
    </row>
    <row r="72" spans="1:7" ht="15" customHeight="1" outlineLevel="2">
      <c r="A72" s="5"/>
      <c r="B72" s="65" t="s">
        <v>56</v>
      </c>
      <c r="C72" s="81"/>
      <c r="D72" s="5" t="s">
        <v>144</v>
      </c>
      <c r="E72" s="78">
        <f>36300+27700+17800</f>
        <v>81800</v>
      </c>
      <c r="F72" s="6"/>
      <c r="G72" s="69">
        <f>SUM(E63:E72)</f>
        <v>933376</v>
      </c>
    </row>
    <row r="73" spans="1:7" ht="15" customHeight="1" outlineLevel="2">
      <c r="A73" s="5"/>
      <c r="B73" s="65"/>
      <c r="C73" s="81"/>
      <c r="D73" s="5"/>
      <c r="E73" s="78"/>
      <c r="F73" s="6"/>
      <c r="G73" s="69"/>
    </row>
    <row r="74" spans="1:7" ht="15" customHeight="1" outlineLevel="2">
      <c r="A74" s="5"/>
      <c r="B74" s="86" t="s">
        <v>17</v>
      </c>
      <c r="C74" s="81"/>
      <c r="D74" s="5"/>
      <c r="E74" s="70"/>
      <c r="F74" s="6"/>
      <c r="G74" s="69"/>
    </row>
    <row r="75" spans="1:7" ht="15" customHeight="1" outlineLevel="2">
      <c r="A75" s="5"/>
      <c r="B75" s="65" t="s">
        <v>21</v>
      </c>
      <c r="C75" s="81"/>
      <c r="D75" s="5" t="s">
        <v>157</v>
      </c>
      <c r="E75" s="70">
        <v>1500641</v>
      </c>
      <c r="F75" s="6"/>
      <c r="G75" s="69"/>
    </row>
    <row r="76" spans="1:7" ht="15" customHeight="1" outlineLevel="2" thickBot="1">
      <c r="A76" s="5"/>
      <c r="B76" s="88" t="s">
        <v>138</v>
      </c>
      <c r="C76" s="115"/>
      <c r="D76" s="61" t="s">
        <v>139</v>
      </c>
      <c r="E76" s="102">
        <v>1843852</v>
      </c>
      <c r="F76" s="103"/>
      <c r="G76" s="106">
        <f>SUM(E75:E76)</f>
        <v>3344493</v>
      </c>
    </row>
    <row r="77" spans="1:7" ht="15" customHeight="1" outlineLevel="2">
      <c r="A77" s="5"/>
      <c r="B77" s="86" t="s">
        <v>123</v>
      </c>
      <c r="C77" s="81"/>
      <c r="D77" s="5"/>
      <c r="E77" s="78"/>
      <c r="F77" s="6"/>
      <c r="G77" s="69"/>
    </row>
    <row r="78" spans="1:7" ht="14.25" customHeight="1" outlineLevel="2">
      <c r="A78" s="5"/>
      <c r="B78" s="65" t="s">
        <v>100</v>
      </c>
      <c r="C78" s="81"/>
      <c r="D78" s="5" t="s">
        <v>143</v>
      </c>
      <c r="E78" s="78">
        <v>480000</v>
      </c>
      <c r="F78" s="6"/>
      <c r="G78" s="69">
        <f>SUM(E78:F78)</f>
        <v>480000</v>
      </c>
    </row>
    <row r="79" spans="1:7" ht="15" customHeight="1" outlineLevel="2">
      <c r="A79" s="5"/>
      <c r="B79" s="65"/>
      <c r="C79" s="81"/>
      <c r="D79" s="5"/>
      <c r="E79" s="78"/>
      <c r="F79" s="6"/>
      <c r="G79" s="69"/>
    </row>
    <row r="80" spans="1:7" ht="15" customHeight="1" outlineLevel="2">
      <c r="A80" s="5"/>
      <c r="B80" s="86" t="s">
        <v>55</v>
      </c>
      <c r="C80" s="81"/>
      <c r="D80" s="78"/>
      <c r="E80" s="78"/>
      <c r="F80" s="69"/>
      <c r="G80" s="69"/>
    </row>
    <row r="81" spans="1:7" ht="15" customHeight="1" outlineLevel="2">
      <c r="A81" s="5"/>
      <c r="B81" s="65" t="s">
        <v>66</v>
      </c>
      <c r="C81" s="81"/>
      <c r="D81" s="5" t="s">
        <v>146</v>
      </c>
      <c r="E81" s="70">
        <v>1000000</v>
      </c>
      <c r="F81" s="6"/>
      <c r="G81" s="69"/>
    </row>
    <row r="82" spans="1:7" ht="15" customHeight="1" outlineLevel="2">
      <c r="A82" s="5"/>
      <c r="B82" s="65" t="s">
        <v>159</v>
      </c>
      <c r="C82" s="81"/>
      <c r="D82" s="5" t="s">
        <v>167</v>
      </c>
      <c r="E82" s="70">
        <f>1139601+1139601</f>
        <v>2279202</v>
      </c>
      <c r="F82" s="6"/>
      <c r="G82" s="69"/>
    </row>
    <row r="83" spans="1:7" ht="15" customHeight="1" outlineLevel="2">
      <c r="A83" s="5"/>
      <c r="B83" s="65" t="s">
        <v>102</v>
      </c>
      <c r="C83" s="81"/>
      <c r="D83" s="5" t="s">
        <v>183</v>
      </c>
      <c r="E83" s="70">
        <v>695621</v>
      </c>
      <c r="F83" s="6"/>
      <c r="G83" s="69"/>
    </row>
    <row r="84" spans="1:7" ht="15" customHeight="1" outlineLevel="2">
      <c r="A84" s="5"/>
      <c r="B84" s="65" t="s">
        <v>100</v>
      </c>
      <c r="C84" s="81"/>
      <c r="D84" s="5" t="s">
        <v>140</v>
      </c>
      <c r="E84" s="78">
        <v>250000</v>
      </c>
      <c r="F84" s="6"/>
      <c r="G84" s="69">
        <f>SUM(E81:E85)</f>
        <v>4224823</v>
      </c>
    </row>
    <row r="85" spans="1:7" ht="14.25" customHeight="1" outlineLevel="2">
      <c r="A85" s="5"/>
      <c r="B85" s="65"/>
      <c r="C85" s="81"/>
      <c r="D85" s="5"/>
      <c r="E85" s="78"/>
      <c r="F85" s="6"/>
      <c r="G85" s="69"/>
    </row>
    <row r="86" spans="1:7" ht="15" customHeight="1" outlineLevel="2">
      <c r="A86" s="5"/>
      <c r="B86" s="86" t="s">
        <v>18</v>
      </c>
      <c r="C86" s="81"/>
      <c r="D86" s="5"/>
      <c r="E86" s="70"/>
      <c r="F86" s="6"/>
      <c r="G86" s="69"/>
    </row>
    <row r="87" spans="1:7" ht="15" customHeight="1" outlineLevel="2">
      <c r="A87" s="5"/>
      <c r="B87" s="65" t="s">
        <v>82</v>
      </c>
      <c r="C87" s="81"/>
      <c r="D87" s="5" t="s">
        <v>126</v>
      </c>
      <c r="E87" s="70"/>
      <c r="F87" s="6"/>
      <c r="G87" s="69"/>
    </row>
    <row r="88" spans="1:7" ht="15" customHeight="1" outlineLevel="2">
      <c r="A88" s="5"/>
      <c r="B88" s="65" t="s">
        <v>82</v>
      </c>
      <c r="C88" s="81"/>
      <c r="D88" s="5" t="s">
        <v>124</v>
      </c>
      <c r="E88" s="70">
        <v>50000</v>
      </c>
      <c r="F88" s="6"/>
      <c r="G88" s="69"/>
    </row>
    <row r="89" spans="1:7" ht="15" customHeight="1" outlineLevel="2">
      <c r="A89" s="5"/>
      <c r="B89" s="65" t="s">
        <v>82</v>
      </c>
      <c r="C89" s="81"/>
      <c r="D89" s="5" t="s">
        <v>180</v>
      </c>
      <c r="E89" s="70">
        <v>31208</v>
      </c>
      <c r="F89" s="6"/>
      <c r="G89" s="69"/>
    </row>
    <row r="90" spans="1:7" ht="15" customHeight="1" outlineLevel="2">
      <c r="A90" s="5"/>
      <c r="B90" s="65" t="s">
        <v>135</v>
      </c>
      <c r="C90" s="81"/>
      <c r="D90" s="5" t="s">
        <v>126</v>
      </c>
      <c r="E90" s="70">
        <v>10000</v>
      </c>
      <c r="F90" s="6"/>
      <c r="G90" s="69"/>
    </row>
    <row r="91" spans="1:7" ht="15" customHeight="1" outlineLevel="2">
      <c r="A91" s="5"/>
      <c r="B91" s="65" t="s">
        <v>135</v>
      </c>
      <c r="C91" s="81"/>
      <c r="D91" s="5" t="s">
        <v>141</v>
      </c>
      <c r="E91" s="70">
        <v>20950</v>
      </c>
      <c r="F91" s="6"/>
      <c r="G91" s="69"/>
    </row>
    <row r="92" spans="1:7" ht="15" customHeight="1" outlineLevel="2">
      <c r="A92" s="5"/>
      <c r="B92" s="65" t="s">
        <v>135</v>
      </c>
      <c r="C92" s="81"/>
      <c r="D92" s="5" t="s">
        <v>142</v>
      </c>
      <c r="E92" s="70">
        <v>77490</v>
      </c>
      <c r="F92" s="6"/>
      <c r="G92" s="69"/>
    </row>
    <row r="93" spans="1:7" ht="15" customHeight="1" outlineLevel="2">
      <c r="A93" s="5"/>
      <c r="B93" s="65" t="s">
        <v>86</v>
      </c>
      <c r="C93" s="81"/>
      <c r="D93" s="5" t="s">
        <v>126</v>
      </c>
      <c r="E93" s="70">
        <v>52800</v>
      </c>
      <c r="F93" s="6"/>
      <c r="G93" s="69"/>
    </row>
    <row r="94" spans="1:7" ht="15" customHeight="1" outlineLevel="2">
      <c r="A94" s="5"/>
      <c r="B94" s="65" t="s">
        <v>86</v>
      </c>
      <c r="C94" s="81"/>
      <c r="D94" s="5" t="s">
        <v>160</v>
      </c>
      <c r="E94" s="70">
        <v>36700</v>
      </c>
      <c r="F94" s="6"/>
      <c r="G94" s="69"/>
    </row>
    <row r="95" spans="1:7" ht="15" customHeight="1" outlineLevel="2">
      <c r="A95" s="5"/>
      <c r="B95" s="65" t="s">
        <v>154</v>
      </c>
      <c r="C95" s="81"/>
      <c r="D95" s="5" t="s">
        <v>124</v>
      </c>
      <c r="E95" s="70">
        <v>103600</v>
      </c>
      <c r="F95" s="6"/>
      <c r="G95" s="69"/>
    </row>
    <row r="96" spans="1:7" ht="15" customHeight="1" outlineLevel="2">
      <c r="A96" s="5"/>
      <c r="B96" s="65" t="s">
        <v>87</v>
      </c>
      <c r="C96" s="81"/>
      <c r="D96" s="5" t="s">
        <v>145</v>
      </c>
      <c r="E96" s="70">
        <v>78000</v>
      </c>
      <c r="F96" s="6"/>
      <c r="G96" s="69"/>
    </row>
    <row r="97" spans="1:7" ht="15" customHeight="1" outlineLevel="2">
      <c r="A97" s="5"/>
      <c r="B97" s="65" t="s">
        <v>162</v>
      </c>
      <c r="C97" s="81"/>
      <c r="D97" s="5" t="s">
        <v>121</v>
      </c>
      <c r="E97" s="70">
        <v>64000</v>
      </c>
      <c r="F97" s="6"/>
      <c r="G97" s="69"/>
    </row>
    <row r="98" spans="1:7" ht="15" customHeight="1" outlineLevel="2">
      <c r="A98" s="5"/>
      <c r="B98" s="65" t="s">
        <v>117</v>
      </c>
      <c r="C98" s="81"/>
      <c r="D98" s="5" t="s">
        <v>185</v>
      </c>
      <c r="E98" s="70">
        <v>186482</v>
      </c>
      <c r="F98" s="6"/>
      <c r="G98" s="69"/>
    </row>
    <row r="99" spans="1:7" ht="15" customHeight="1" outlineLevel="2">
      <c r="A99" s="5"/>
      <c r="B99" s="65" t="s">
        <v>117</v>
      </c>
      <c r="C99" s="81"/>
      <c r="D99" s="5" t="s">
        <v>164</v>
      </c>
      <c r="E99" s="70">
        <v>182458</v>
      </c>
      <c r="F99" s="6"/>
      <c r="G99" s="69"/>
    </row>
    <row r="100" spans="1:7" ht="15" customHeight="1" outlineLevel="2">
      <c r="A100" s="5"/>
      <c r="B100" s="65" t="s">
        <v>117</v>
      </c>
      <c r="C100" s="81"/>
      <c r="D100" s="5" t="s">
        <v>165</v>
      </c>
      <c r="E100" s="70">
        <f>189877+5506</f>
        <v>195383</v>
      </c>
      <c r="F100" s="6"/>
      <c r="G100" s="69"/>
    </row>
    <row r="101" spans="1:7" ht="15" customHeight="1" outlineLevel="2">
      <c r="A101" s="5"/>
      <c r="B101" s="65" t="s">
        <v>117</v>
      </c>
      <c r="C101" s="81"/>
      <c r="D101" s="5" t="s">
        <v>166</v>
      </c>
      <c r="E101" s="70">
        <f>217128+49836</f>
        <v>266964</v>
      </c>
      <c r="F101" s="6"/>
      <c r="G101" s="69"/>
    </row>
    <row r="102" spans="1:7" ht="15" customHeight="1" outlineLevel="2">
      <c r="A102" s="5"/>
      <c r="B102" s="65" t="s">
        <v>117</v>
      </c>
      <c r="C102" s="81"/>
      <c r="D102" s="5" t="s">
        <v>163</v>
      </c>
      <c r="E102" s="70">
        <f>29606+232530</f>
        <v>262136</v>
      </c>
      <c r="F102" s="6"/>
      <c r="G102" s="69"/>
    </row>
    <row r="103" spans="1:7" ht="15" customHeight="1" outlineLevel="2">
      <c r="A103" s="5"/>
      <c r="B103" s="65" t="s">
        <v>117</v>
      </c>
      <c r="C103" s="81"/>
      <c r="D103" s="5" t="s">
        <v>170</v>
      </c>
      <c r="E103" s="70">
        <v>285817</v>
      </c>
      <c r="F103" s="6"/>
      <c r="G103" s="69"/>
    </row>
    <row r="104" spans="1:7" ht="15" customHeight="1" outlineLevel="2">
      <c r="A104" s="5"/>
      <c r="B104" s="65" t="s">
        <v>117</v>
      </c>
      <c r="C104" s="81"/>
      <c r="D104" s="5" t="s">
        <v>171</v>
      </c>
      <c r="E104" s="70">
        <v>105128</v>
      </c>
      <c r="F104" s="6"/>
      <c r="G104" s="69"/>
    </row>
    <row r="105" spans="1:7" ht="15" customHeight="1" outlineLevel="2">
      <c r="A105" s="5"/>
      <c r="B105" s="66" t="s">
        <v>19</v>
      </c>
      <c r="C105" s="81"/>
      <c r="D105" s="5"/>
      <c r="E105" s="70"/>
      <c r="F105" s="6"/>
      <c r="G105" s="69"/>
    </row>
    <row r="106" spans="1:7" ht="15" customHeight="1" outlineLevel="2">
      <c r="A106" s="5"/>
      <c r="B106" s="65" t="s">
        <v>92</v>
      </c>
      <c r="C106" s="81"/>
      <c r="D106" s="5" t="s">
        <v>106</v>
      </c>
      <c r="E106" s="70">
        <v>15706</v>
      </c>
      <c r="F106" s="6"/>
      <c r="G106" s="69"/>
    </row>
    <row r="107" spans="1:7" ht="15" customHeight="1" outlineLevel="2">
      <c r="A107" s="5"/>
      <c r="B107" s="65" t="s">
        <v>84</v>
      </c>
      <c r="C107" s="81"/>
      <c r="D107" s="5" t="s">
        <v>149</v>
      </c>
      <c r="E107" s="70">
        <v>238845</v>
      </c>
      <c r="F107" s="6"/>
      <c r="G107" s="69"/>
    </row>
    <row r="108" spans="1:7" ht="15" customHeight="1" outlineLevel="2">
      <c r="A108" s="5"/>
      <c r="B108" s="65" t="s">
        <v>84</v>
      </c>
      <c r="C108" s="81"/>
      <c r="D108" s="5" t="s">
        <v>155</v>
      </c>
      <c r="E108" s="78">
        <v>433746</v>
      </c>
      <c r="F108" s="6"/>
      <c r="G108" s="69">
        <f>SUM(E87:E108)</f>
        <v>2697413</v>
      </c>
    </row>
    <row r="109" spans="1:7" ht="15" customHeight="1" outlineLevel="2" thickBot="1">
      <c r="A109" s="5"/>
      <c r="B109" s="88"/>
      <c r="C109" s="115"/>
      <c r="D109" s="61"/>
      <c r="E109" s="102"/>
      <c r="F109" s="103"/>
      <c r="G109" s="106"/>
    </row>
    <row r="110" spans="1:7" ht="15.75" customHeight="1" outlineLevel="2">
      <c r="A110" s="5"/>
      <c r="B110" s="86" t="s">
        <v>6</v>
      </c>
      <c r="C110" s="81"/>
      <c r="D110" s="5"/>
      <c r="E110" s="78"/>
      <c r="F110" s="6"/>
      <c r="G110" s="69"/>
    </row>
    <row r="111" spans="2:7" s="5" customFormat="1" ht="15" customHeight="1" outlineLevel="2">
      <c r="B111" s="65" t="s">
        <v>89</v>
      </c>
      <c r="C111" s="81"/>
      <c r="D111" s="5" t="s">
        <v>174</v>
      </c>
      <c r="E111" s="70">
        <v>303691</v>
      </c>
      <c r="F111" s="8"/>
      <c r="G111" s="70"/>
    </row>
    <row r="112" spans="2:7" s="5" customFormat="1" ht="15" customHeight="1" outlineLevel="2">
      <c r="B112" s="65" t="s">
        <v>84</v>
      </c>
      <c r="C112" s="81"/>
      <c r="D112" s="5" t="s">
        <v>150</v>
      </c>
      <c r="E112" s="70">
        <v>160742</v>
      </c>
      <c r="F112" s="8"/>
      <c r="G112" s="70"/>
    </row>
    <row r="113" spans="2:7" s="5" customFormat="1" ht="15" customHeight="1" outlineLevel="2">
      <c r="B113" s="65" t="s">
        <v>152</v>
      </c>
      <c r="C113" s="81"/>
      <c r="D113" s="5" t="s">
        <v>153</v>
      </c>
      <c r="E113" s="70">
        <f>91983+63090</f>
        <v>155073</v>
      </c>
      <c r="F113" s="8"/>
      <c r="G113" s="70"/>
    </row>
    <row r="114" spans="1:7" ht="15" customHeight="1" outlineLevel="2">
      <c r="A114" s="5"/>
      <c r="B114" s="65" t="s">
        <v>81</v>
      </c>
      <c r="C114" s="81"/>
      <c r="D114" s="5" t="s">
        <v>103</v>
      </c>
      <c r="E114" s="78">
        <v>190340</v>
      </c>
      <c r="F114" s="6"/>
      <c r="G114" s="69">
        <f>SUM(E111:E114)</f>
        <v>809846</v>
      </c>
    </row>
    <row r="115" spans="1:7" ht="15" customHeight="1" outlineLevel="2">
      <c r="A115" s="5"/>
      <c r="B115" s="65"/>
      <c r="C115" s="81"/>
      <c r="D115" s="5"/>
      <c r="E115" s="78"/>
      <c r="F115" s="6"/>
      <c r="G115" s="69"/>
    </row>
    <row r="116" spans="1:7" ht="15" customHeight="1" outlineLevel="2">
      <c r="A116" s="5"/>
      <c r="B116" s="86" t="s">
        <v>114</v>
      </c>
      <c r="C116" s="81"/>
      <c r="D116" s="5"/>
      <c r="E116" s="78"/>
      <c r="F116" s="6"/>
      <c r="G116" s="69"/>
    </row>
    <row r="117" spans="1:7" ht="15" customHeight="1" outlineLevel="2">
      <c r="A117" s="5"/>
      <c r="B117" s="65" t="s">
        <v>119</v>
      </c>
      <c r="C117" s="81"/>
      <c r="D117" s="5" t="s">
        <v>120</v>
      </c>
      <c r="E117" s="78">
        <v>164869</v>
      </c>
      <c r="F117" s="6"/>
      <c r="G117" s="69">
        <f>SUM(E117:F117)</f>
        <v>164869</v>
      </c>
    </row>
    <row r="118" spans="1:7" ht="15" customHeight="1" outlineLevel="2">
      <c r="A118" s="5"/>
      <c r="B118" s="65"/>
      <c r="C118" s="81"/>
      <c r="D118" s="5"/>
      <c r="E118" s="78"/>
      <c r="F118" s="6"/>
      <c r="G118" s="69"/>
    </row>
    <row r="119" spans="1:7" ht="15" customHeight="1" outlineLevel="2">
      <c r="A119" s="5"/>
      <c r="B119" s="86" t="s">
        <v>96</v>
      </c>
      <c r="C119" s="81"/>
      <c r="D119" s="11"/>
      <c r="E119" s="70"/>
      <c r="F119" s="6"/>
      <c r="G119" s="69"/>
    </row>
    <row r="120" spans="1:7" ht="15" customHeight="1" outlineLevel="2">
      <c r="A120" s="5"/>
      <c r="B120" s="65" t="s">
        <v>61</v>
      </c>
      <c r="C120" s="81"/>
      <c r="D120" s="5" t="s">
        <v>173</v>
      </c>
      <c r="E120" s="70">
        <v>333450</v>
      </c>
      <c r="F120" s="6"/>
      <c r="G120" s="69"/>
    </row>
    <row r="121" spans="1:7" ht="15" customHeight="1" outlineLevel="2">
      <c r="A121" s="5"/>
      <c r="B121" s="65" t="s">
        <v>49</v>
      </c>
      <c r="C121" s="81"/>
      <c r="D121" s="5" t="s">
        <v>173</v>
      </c>
      <c r="E121" s="70">
        <v>757202</v>
      </c>
      <c r="F121" s="6"/>
      <c r="G121" s="69"/>
    </row>
    <row r="122" spans="1:7" ht="15" customHeight="1" outlineLevel="2">
      <c r="A122" s="5"/>
      <c r="B122" s="65" t="s">
        <v>69</v>
      </c>
      <c r="C122" s="81"/>
      <c r="D122" s="5" t="s">
        <v>173</v>
      </c>
      <c r="E122" s="70">
        <v>584903</v>
      </c>
      <c r="F122" s="6"/>
      <c r="G122" s="69"/>
    </row>
    <row r="123" spans="1:7" ht="15" customHeight="1" outlineLevel="2">
      <c r="A123" s="5"/>
      <c r="B123" s="65" t="s">
        <v>62</v>
      </c>
      <c r="C123" s="81"/>
      <c r="D123" s="5" t="s">
        <v>173</v>
      </c>
      <c r="E123" s="70">
        <v>1088373</v>
      </c>
      <c r="F123" s="6"/>
      <c r="G123" s="69"/>
    </row>
    <row r="124" spans="1:7" ht="15" customHeight="1" outlineLevel="2">
      <c r="A124" s="5"/>
      <c r="B124" s="65" t="s">
        <v>50</v>
      </c>
      <c r="C124" s="81"/>
      <c r="D124" s="5" t="s">
        <v>173</v>
      </c>
      <c r="E124" s="70">
        <v>859529</v>
      </c>
      <c r="F124" s="6"/>
      <c r="G124" s="69"/>
    </row>
    <row r="125" spans="1:7" ht="15" customHeight="1" outlineLevel="2">
      <c r="A125" s="5"/>
      <c r="B125" s="65" t="s">
        <v>75</v>
      </c>
      <c r="C125" s="81"/>
      <c r="D125" s="5" t="s">
        <v>173</v>
      </c>
      <c r="E125" s="70">
        <v>427219</v>
      </c>
      <c r="F125" s="6"/>
      <c r="G125" s="69"/>
    </row>
    <row r="126" spans="1:7" ht="14.25" customHeight="1" outlineLevel="2">
      <c r="A126" s="5"/>
      <c r="B126" s="65" t="s">
        <v>64</v>
      </c>
      <c r="C126" s="81"/>
      <c r="D126" s="5" t="s">
        <v>173</v>
      </c>
      <c r="E126" s="70">
        <v>876700</v>
      </c>
      <c r="F126" s="6"/>
      <c r="G126" s="69"/>
    </row>
    <row r="127" spans="1:7" ht="14.25" customHeight="1" outlineLevel="2">
      <c r="A127" s="5"/>
      <c r="B127" s="65" t="s">
        <v>63</v>
      </c>
      <c r="C127" s="81"/>
      <c r="D127" s="5" t="s">
        <v>173</v>
      </c>
      <c r="E127" s="70">
        <v>601559</v>
      </c>
      <c r="F127" s="6"/>
      <c r="G127" s="69"/>
    </row>
    <row r="128" spans="1:7" ht="14.25" customHeight="1" outlineLevel="2">
      <c r="A128" s="5"/>
      <c r="B128" s="65" t="s">
        <v>58</v>
      </c>
      <c r="C128" s="81"/>
      <c r="D128" s="5" t="s">
        <v>173</v>
      </c>
      <c r="E128" s="78">
        <v>839032</v>
      </c>
      <c r="F128" s="6"/>
      <c r="G128" s="69">
        <f>SUM(E120:E128)</f>
        <v>6367967</v>
      </c>
    </row>
    <row r="129" spans="1:7" ht="15" customHeight="1" outlineLevel="2">
      <c r="A129" s="5"/>
      <c r="B129" s="65"/>
      <c r="C129" s="81"/>
      <c r="D129" s="62"/>
      <c r="E129" s="78"/>
      <c r="F129" s="6"/>
      <c r="G129" s="69"/>
    </row>
    <row r="130" spans="1:7" ht="15" customHeight="1" outlineLevel="2">
      <c r="A130" s="5"/>
      <c r="B130" s="86" t="s">
        <v>11</v>
      </c>
      <c r="C130" s="81"/>
      <c r="D130" s="5"/>
      <c r="E130" s="70"/>
      <c r="F130" s="6"/>
      <c r="G130" s="69"/>
    </row>
    <row r="131" spans="1:7" ht="15" customHeight="1" outlineLevel="2">
      <c r="A131" s="5"/>
      <c r="B131" s="65" t="s">
        <v>12</v>
      </c>
      <c r="C131" s="81"/>
      <c r="D131" s="62" t="s">
        <v>125</v>
      </c>
      <c r="E131" s="70">
        <v>261967</v>
      </c>
      <c r="F131" s="6"/>
      <c r="G131" s="69"/>
    </row>
    <row r="132" spans="1:7" ht="15" customHeight="1" outlineLevel="2">
      <c r="A132" s="5"/>
      <c r="B132" s="65" t="s">
        <v>60</v>
      </c>
      <c r="C132" s="82"/>
      <c r="D132" s="62" t="s">
        <v>125</v>
      </c>
      <c r="E132" s="70">
        <v>70795</v>
      </c>
      <c r="F132" s="6"/>
      <c r="G132" s="69"/>
    </row>
    <row r="133" spans="1:7" ht="15" customHeight="1" outlineLevel="2">
      <c r="A133" s="5"/>
      <c r="B133" s="65" t="s">
        <v>78</v>
      </c>
      <c r="C133" s="82"/>
      <c r="D133" s="62" t="s">
        <v>125</v>
      </c>
      <c r="E133" s="70">
        <v>261273</v>
      </c>
      <c r="F133" s="6"/>
      <c r="G133" s="69"/>
    </row>
    <row r="134" spans="1:7" ht="15" customHeight="1" outlineLevel="2">
      <c r="A134" s="5"/>
      <c r="B134" s="65" t="s">
        <v>88</v>
      </c>
      <c r="C134" s="82"/>
      <c r="D134" s="62" t="s">
        <v>125</v>
      </c>
      <c r="E134" s="70">
        <v>89672</v>
      </c>
      <c r="F134" s="6"/>
      <c r="G134" s="69"/>
    </row>
    <row r="135" spans="1:7" ht="15" customHeight="1" outlineLevel="2">
      <c r="A135" s="5"/>
      <c r="B135" s="65" t="s">
        <v>77</v>
      </c>
      <c r="C135" s="82"/>
      <c r="D135" s="62" t="s">
        <v>125</v>
      </c>
      <c r="E135" s="70">
        <v>182762</v>
      </c>
      <c r="F135" s="6"/>
      <c r="G135" s="69"/>
    </row>
    <row r="136" spans="1:7" ht="15" customHeight="1" outlineLevel="2">
      <c r="A136" s="5"/>
      <c r="B136" s="65" t="s">
        <v>68</v>
      </c>
      <c r="C136" s="81"/>
      <c r="D136" s="62" t="s">
        <v>125</v>
      </c>
      <c r="E136" s="70">
        <v>11928</v>
      </c>
      <c r="F136" s="6"/>
      <c r="G136" s="69"/>
    </row>
    <row r="137" spans="1:7" ht="15" customHeight="1" outlineLevel="2">
      <c r="A137" s="5"/>
      <c r="B137" s="65" t="s">
        <v>46</v>
      </c>
      <c r="C137" s="81"/>
      <c r="D137" s="62" t="s">
        <v>125</v>
      </c>
      <c r="E137" s="70">
        <v>509292</v>
      </c>
      <c r="F137" s="6"/>
      <c r="G137" s="69"/>
    </row>
    <row r="138" spans="1:7" ht="15" customHeight="1" outlineLevel="2">
      <c r="A138" s="5"/>
      <c r="B138" s="65" t="s">
        <v>70</v>
      </c>
      <c r="C138" s="81"/>
      <c r="D138" s="62" t="s">
        <v>125</v>
      </c>
      <c r="E138" s="70">
        <v>348864</v>
      </c>
      <c r="F138" s="6"/>
      <c r="G138" s="69"/>
    </row>
    <row r="139" spans="1:7" ht="15" customHeight="1" outlineLevel="2">
      <c r="A139" s="5"/>
      <c r="B139" s="65" t="s">
        <v>71</v>
      </c>
      <c r="C139" s="81"/>
      <c r="D139" s="62" t="s">
        <v>125</v>
      </c>
      <c r="E139" s="70">
        <v>121772</v>
      </c>
      <c r="F139" s="6"/>
      <c r="G139" s="69"/>
    </row>
    <row r="140" spans="1:7" ht="15" customHeight="1" outlineLevel="2">
      <c r="A140" s="5"/>
      <c r="B140" s="65" t="s">
        <v>25</v>
      </c>
      <c r="C140" s="81"/>
      <c r="D140" s="62" t="s">
        <v>125</v>
      </c>
      <c r="E140" s="70">
        <f>30341+47916+29366+14669+73639</f>
        <v>195931</v>
      </c>
      <c r="F140" s="6"/>
      <c r="G140" s="69"/>
    </row>
    <row r="141" spans="1:7" ht="15" customHeight="1" outlineLevel="2">
      <c r="A141" s="5"/>
      <c r="B141" s="65" t="s">
        <v>65</v>
      </c>
      <c r="C141" s="81"/>
      <c r="D141" s="62" t="s">
        <v>125</v>
      </c>
      <c r="E141" s="70">
        <v>134511</v>
      </c>
      <c r="F141" s="6"/>
      <c r="G141" s="69"/>
    </row>
    <row r="142" spans="1:7" ht="15" customHeight="1" outlineLevel="2" thickBot="1">
      <c r="A142" s="5"/>
      <c r="B142" s="88" t="s">
        <v>59</v>
      </c>
      <c r="C142" s="115"/>
      <c r="D142" s="116" t="s">
        <v>125</v>
      </c>
      <c r="E142" s="105">
        <v>63660</v>
      </c>
      <c r="F142" s="103"/>
      <c r="G142" s="106"/>
    </row>
    <row r="143" spans="1:7" ht="15" customHeight="1" outlineLevel="2" thickBot="1">
      <c r="A143" s="5"/>
      <c r="B143" s="67" t="s">
        <v>20</v>
      </c>
      <c r="C143" s="83"/>
      <c r="D143" s="62" t="s">
        <v>125</v>
      </c>
      <c r="E143" s="79">
        <v>395119</v>
      </c>
      <c r="F143" s="68"/>
      <c r="G143" s="71">
        <f>SUM(E131:E143)</f>
        <v>2647546</v>
      </c>
    </row>
    <row r="144" spans="2:10" ht="12.75" outlineLevel="1" thickBot="1">
      <c r="B144" s="34" t="s">
        <v>13</v>
      </c>
      <c r="C144" s="64"/>
      <c r="D144" s="56"/>
      <c r="E144" s="55"/>
      <c r="F144" s="35">
        <f>SUM(F8:F143)</f>
        <v>41950691</v>
      </c>
      <c r="G144" s="35">
        <f>SUM(G8:G143)</f>
        <v>51571508</v>
      </c>
      <c r="H144" s="3"/>
      <c r="I144" s="3"/>
      <c r="J144" s="3"/>
    </row>
    <row r="145" spans="2:7" ht="12.75" outlineLevel="1" thickBot="1">
      <c r="B145" s="37" t="s">
        <v>14</v>
      </c>
      <c r="C145" s="56"/>
      <c r="D145" s="54"/>
      <c r="E145" s="36"/>
      <c r="F145" s="36">
        <f>G6</f>
        <v>248297557</v>
      </c>
      <c r="G145" s="36">
        <v>0</v>
      </c>
    </row>
    <row r="146" spans="2:7" ht="12.75" thickBot="1">
      <c r="B146" s="39" t="s">
        <v>15</v>
      </c>
      <c r="C146" s="56"/>
      <c r="D146" s="38"/>
      <c r="E146" s="36"/>
      <c r="F146" s="36">
        <f>SUM(F144:F145)</f>
        <v>290248248</v>
      </c>
      <c r="G146" s="36">
        <f>SUM(G144:G145)</f>
        <v>51571508</v>
      </c>
    </row>
    <row r="147" spans="2:7" ht="12" thickBot="1">
      <c r="B147" s="7"/>
      <c r="C147" s="59"/>
      <c r="D147" s="7"/>
      <c r="E147" s="6"/>
      <c r="F147" s="6"/>
      <c r="G147" s="6"/>
    </row>
    <row r="148" spans="1:7" s="9" customFormat="1" ht="15" customHeight="1" thickBot="1">
      <c r="A148" s="11"/>
      <c r="B148" s="40" t="s">
        <v>186</v>
      </c>
      <c r="C148" s="41"/>
      <c r="D148" s="41"/>
      <c r="E148" s="42">
        <f>F146-G146</f>
        <v>238676740</v>
      </c>
      <c r="F148" s="13" t="s">
        <v>7</v>
      </c>
      <c r="G148"/>
    </row>
    <row r="149" spans="2:7" s="5" customFormat="1" ht="35.25" customHeight="1">
      <c r="B149" s="7"/>
      <c r="D149" s="7"/>
      <c r="E149" s="6"/>
      <c r="F149" s="6"/>
      <c r="G149" s="6"/>
    </row>
    <row r="150" spans="2:7" s="5" customFormat="1" ht="12">
      <c r="B150" s="7"/>
      <c r="D150" s="7"/>
      <c r="E150" s="6"/>
      <c r="F150" s="13"/>
      <c r="G150" s="6"/>
    </row>
    <row r="151" spans="2:7" s="5" customFormat="1" ht="18.75">
      <c r="B151" s="5" t="s">
        <v>187</v>
      </c>
      <c r="D151" s="7"/>
      <c r="E151" s="6"/>
      <c r="F151" s="90" t="s">
        <v>79</v>
      </c>
      <c r="G151" s="6"/>
    </row>
    <row r="152" spans="4:7" s="5" customFormat="1" ht="15" customHeight="1">
      <c r="D152" s="12"/>
      <c r="E152" s="14"/>
      <c r="F152" s="13"/>
      <c r="G152" s="13"/>
    </row>
    <row r="153" spans="5:7" s="5" customFormat="1" ht="15" customHeight="1">
      <c r="E153" s="8"/>
      <c r="F153" s="6"/>
      <c r="G153" s="6"/>
    </row>
    <row r="154" spans="3:6" ht="11.25">
      <c r="C154" s="5"/>
      <c r="F154" s="3"/>
    </row>
    <row r="155" spans="3:5" ht="11.25">
      <c r="C155" s="5"/>
      <c r="E155" s="3"/>
    </row>
    <row r="156" ht="11.25">
      <c r="C156" s="5"/>
    </row>
    <row r="157" ht="11.25">
      <c r="C157" s="5"/>
    </row>
    <row r="158" ht="11.25">
      <c r="C158" s="5"/>
    </row>
    <row r="159" ht="11.25">
      <c r="C159" s="5"/>
    </row>
    <row r="160" ht="11.25">
      <c r="C160" s="5"/>
    </row>
    <row r="161" ht="11.25">
      <c r="C161" s="5"/>
    </row>
  </sheetData>
  <sheetProtection/>
  <autoFilter ref="E4:E162"/>
  <printOptions horizontalCentered="1"/>
  <pageMargins left="0.3937007874015748" right="0.3937007874015748" top="0.41" bottom="0.47" header="0" footer="0"/>
  <pageSetup horizontalDpi="600" verticalDpi="600" orientation="landscape" paperSize="9" r:id="rId4"/>
  <rowBreaks count="1" manualBreakCount="1">
    <brk id="42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F54"/>
  <sheetViews>
    <sheetView zoomScalePageLayoutView="0" workbookViewId="0" topLeftCell="A4">
      <selection activeCell="D17" sqref="D17"/>
    </sheetView>
  </sheetViews>
  <sheetFormatPr defaultColWidth="11.421875" defaultRowHeight="12.75"/>
  <cols>
    <col min="1" max="1" width="4.00390625" style="15" customWidth="1"/>
    <col min="2" max="2" width="36.421875" style="15" customWidth="1"/>
    <col min="3" max="4" width="11.421875" style="15" customWidth="1"/>
    <col min="5" max="5" width="0" style="15" hidden="1" customWidth="1"/>
    <col min="6" max="16384" width="11.421875" style="15" customWidth="1"/>
  </cols>
  <sheetData>
    <row r="1" ht="12.75"/>
    <row r="2" ht="12.75"/>
    <row r="3" ht="12.75">
      <c r="B3" s="16"/>
    </row>
    <row r="4" ht="12.75">
      <c r="B4" s="16"/>
    </row>
    <row r="5" ht="13.5" thickBot="1">
      <c r="B5" s="16"/>
    </row>
    <row r="6" spans="2:5" s="17" customFormat="1" ht="28.5" customHeight="1" thickBot="1">
      <c r="B6" s="50" t="s">
        <v>51</v>
      </c>
      <c r="C6" s="50" t="s">
        <v>32</v>
      </c>
      <c r="D6" s="50"/>
      <c r="E6" s="47" t="s">
        <v>47</v>
      </c>
    </row>
    <row r="7" spans="2:5" s="5" customFormat="1" ht="15" customHeight="1">
      <c r="B7" s="24" t="s">
        <v>33</v>
      </c>
      <c r="C7" s="32">
        <v>81</v>
      </c>
      <c r="D7" s="70">
        <v>486000</v>
      </c>
      <c r="E7" s="43">
        <f>378400+4300+378400+4300</f>
        <v>765400</v>
      </c>
    </row>
    <row r="8" spans="2:5" s="5" customFormat="1" ht="15" customHeight="1">
      <c r="B8" s="24" t="s">
        <v>28</v>
      </c>
      <c r="C8" s="32">
        <v>103</v>
      </c>
      <c r="D8" s="70">
        <v>618000</v>
      </c>
      <c r="E8" s="43">
        <f>533200+8600</f>
        <v>541800</v>
      </c>
    </row>
    <row r="9" spans="2:5" s="5" customFormat="1" ht="15" customHeight="1">
      <c r="B9" s="24" t="s">
        <v>31</v>
      </c>
      <c r="C9" s="32">
        <f>220+1</f>
        <v>221</v>
      </c>
      <c r="D9" s="70">
        <f>1320000+6400</f>
        <v>1326400</v>
      </c>
      <c r="E9" s="43">
        <f>838500+8600+834200+8600</f>
        <v>1689900</v>
      </c>
    </row>
    <row r="10" spans="2:5" s="5" customFormat="1" ht="15" customHeight="1">
      <c r="B10" s="24" t="s">
        <v>34</v>
      </c>
      <c r="C10" s="32">
        <v>151</v>
      </c>
      <c r="D10" s="70">
        <v>962000</v>
      </c>
      <c r="E10" s="43">
        <v>0</v>
      </c>
    </row>
    <row r="11" spans="2:5" s="5" customFormat="1" ht="15" customHeight="1">
      <c r="B11" s="24" t="s">
        <v>26</v>
      </c>
      <c r="C11" s="32">
        <v>154</v>
      </c>
      <c r="D11" s="70">
        <v>924000</v>
      </c>
      <c r="E11" s="43">
        <f>8600+967500</f>
        <v>976100</v>
      </c>
    </row>
    <row r="12" spans="2:5" s="5" customFormat="1" ht="15" customHeight="1">
      <c r="B12" s="24" t="s">
        <v>35</v>
      </c>
      <c r="C12" s="32">
        <f>1+440+1</f>
        <v>442</v>
      </c>
      <c r="D12" s="70">
        <f>2640000+3300</f>
        <v>2643300</v>
      </c>
      <c r="E12" s="43">
        <f>17200+223100+8600+8600</f>
        <v>257500</v>
      </c>
    </row>
    <row r="13" spans="2:5" s="5" customFormat="1" ht="15" customHeight="1">
      <c r="B13" s="24" t="s">
        <v>36</v>
      </c>
      <c r="C13" s="32">
        <f>1+1+1+1+1+532</f>
        <v>537</v>
      </c>
      <c r="D13" s="70">
        <f>2300+27000+2200+2200+44800+3192000</f>
        <v>3270500</v>
      </c>
      <c r="E13" s="43">
        <f>3457200+30100+3990</f>
        <v>3491290</v>
      </c>
    </row>
    <row r="14" spans="2:5" s="5" customFormat="1" ht="15" customHeight="1">
      <c r="B14" s="24" t="s">
        <v>37</v>
      </c>
      <c r="C14" s="32">
        <v>62</v>
      </c>
      <c r="D14" s="70">
        <v>372000</v>
      </c>
      <c r="E14" s="43">
        <f>8600+602000+593400</f>
        <v>1204000</v>
      </c>
    </row>
    <row r="15" spans="2:5" s="5" customFormat="1" ht="15" customHeight="1">
      <c r="B15" s="24" t="s">
        <v>24</v>
      </c>
      <c r="C15" s="32">
        <v>149</v>
      </c>
      <c r="D15" s="70">
        <v>894000</v>
      </c>
      <c r="E15" s="43">
        <f>640700+653600</f>
        <v>1294300</v>
      </c>
    </row>
    <row r="16" spans="2:5" s="5" customFormat="1" ht="15" customHeight="1">
      <c r="B16" s="24" t="s">
        <v>38</v>
      </c>
      <c r="C16" s="32">
        <f>1+361+1</f>
        <v>363</v>
      </c>
      <c r="D16" s="70">
        <f>2200+2166000+6000</f>
        <v>2174200</v>
      </c>
      <c r="E16" s="43">
        <f>1797400+8600</f>
        <v>1806000</v>
      </c>
    </row>
    <row r="17" spans="2:5" s="5" customFormat="1" ht="15" customHeight="1">
      <c r="B17" s="24" t="s">
        <v>39</v>
      </c>
      <c r="C17" s="32">
        <f>1</f>
        <v>1</v>
      </c>
      <c r="D17" s="70">
        <f>2300+900000</f>
        <v>902300</v>
      </c>
      <c r="E17" s="43">
        <v>774000</v>
      </c>
    </row>
    <row r="18" spans="2:5" s="5" customFormat="1" ht="15" customHeight="1">
      <c r="B18" s="24" t="s">
        <v>40</v>
      </c>
      <c r="C18" s="32">
        <f>296+1</f>
        <v>297</v>
      </c>
      <c r="D18" s="70">
        <f>1776000+2200</f>
        <v>1778200</v>
      </c>
      <c r="E18" s="43">
        <f>1427290</f>
        <v>1427290</v>
      </c>
    </row>
    <row r="19" spans="2:5" s="5" customFormat="1" ht="15" customHeight="1">
      <c r="B19" s="24" t="s">
        <v>23</v>
      </c>
      <c r="C19" s="32">
        <v>103</v>
      </c>
      <c r="D19" s="70">
        <v>618000</v>
      </c>
      <c r="E19" s="43">
        <v>442900</v>
      </c>
    </row>
    <row r="20" spans="2:5" s="5" customFormat="1" ht="15" customHeight="1">
      <c r="B20" s="24" t="s">
        <v>41</v>
      </c>
      <c r="C20" s="32">
        <f>1+1+1+1+400+1</f>
        <v>405</v>
      </c>
      <c r="D20" s="70">
        <f>2120+8800+13200+2120+2400000+2200</f>
        <v>2428440</v>
      </c>
      <c r="E20" s="43">
        <f>1720+12900+2128500</f>
        <v>2143120</v>
      </c>
    </row>
    <row r="21" spans="2:5" s="5" customFormat="1" ht="15" customHeight="1">
      <c r="B21" s="24" t="s">
        <v>29</v>
      </c>
      <c r="C21" s="32">
        <f>1+268+1</f>
        <v>270</v>
      </c>
      <c r="D21" s="70">
        <f>9600+1608000+7000</f>
        <v>1624600</v>
      </c>
      <c r="E21" s="43">
        <f>7740+1388900+12900+1596</f>
        <v>1411136</v>
      </c>
    </row>
    <row r="22" spans="2:5" s="5" customFormat="1" ht="15" customHeight="1">
      <c r="B22" s="24" t="s">
        <v>42</v>
      </c>
      <c r="C22" s="32">
        <f>205+1+1</f>
        <v>207</v>
      </c>
      <c r="D22" s="70">
        <f>1230000+6000</f>
        <v>1236000</v>
      </c>
      <c r="E22" s="43">
        <f>12900+924500+4300</f>
        <v>941700</v>
      </c>
    </row>
    <row r="23" spans="2:5" s="5" customFormat="1" ht="15" customHeight="1">
      <c r="B23" s="24" t="s">
        <v>30</v>
      </c>
      <c r="C23" s="32">
        <f>207</f>
        <v>207</v>
      </c>
      <c r="D23" s="70">
        <v>1242000</v>
      </c>
      <c r="E23" s="43">
        <f>645000</f>
        <v>645000</v>
      </c>
    </row>
    <row r="24" spans="2:5" s="5" customFormat="1" ht="15" customHeight="1">
      <c r="B24" s="24" t="s">
        <v>43</v>
      </c>
      <c r="C24" s="32">
        <v>122</v>
      </c>
      <c r="D24" s="70">
        <f>732000</f>
        <v>732000</v>
      </c>
      <c r="E24" s="43">
        <f>4300+520300</f>
        <v>524600</v>
      </c>
    </row>
    <row r="25" spans="2:5" s="5" customFormat="1" ht="15" customHeight="1" thickBot="1">
      <c r="B25" s="24" t="s">
        <v>44</v>
      </c>
      <c r="C25" s="32">
        <v>113</v>
      </c>
      <c r="D25" s="78">
        <v>678000</v>
      </c>
      <c r="E25" s="44">
        <f>4300+464400</f>
        <v>468700</v>
      </c>
    </row>
    <row r="26" spans="2:5" s="5" customFormat="1" ht="15" customHeight="1" thickBot="1">
      <c r="B26" s="31"/>
      <c r="C26" s="31">
        <f>SUM(C7:C25)</f>
        <v>3988</v>
      </c>
      <c r="D26" s="51">
        <f>SUM(D7:D25)</f>
        <v>24909940</v>
      </c>
      <c r="E26" s="48"/>
    </row>
    <row r="27" spans="2:5" ht="15.75" customHeight="1" hidden="1" thickBot="1">
      <c r="B27" s="45" t="s">
        <v>48</v>
      </c>
      <c r="C27" s="46"/>
      <c r="D27" s="49"/>
      <c r="E27" s="19" t="e">
        <f>SUM(#REF!)</f>
        <v>#REF!</v>
      </c>
    </row>
    <row r="36" ht="12.75">
      <c r="F36" s="5"/>
    </row>
    <row r="37" ht="12.75">
      <c r="F37" s="5"/>
    </row>
    <row r="38" ht="12.75">
      <c r="F38" s="5"/>
    </row>
    <row r="39" ht="12.75">
      <c r="F39" s="5"/>
    </row>
    <row r="40" ht="12.75">
      <c r="F40" s="5"/>
    </row>
    <row r="41" ht="12.75">
      <c r="F41" s="5"/>
    </row>
    <row r="42" ht="12.75">
      <c r="F42" s="5"/>
    </row>
    <row r="43" ht="12.75">
      <c r="F43" s="5"/>
    </row>
    <row r="44" ht="12.75">
      <c r="F44" s="5"/>
    </row>
    <row r="45" ht="12.75">
      <c r="F45" s="5"/>
    </row>
    <row r="46" ht="12.75">
      <c r="F46" s="5"/>
    </row>
    <row r="47" ht="12.75">
      <c r="F47" s="5"/>
    </row>
    <row r="48" ht="12.75">
      <c r="F48" s="5"/>
    </row>
    <row r="49" ht="12.75">
      <c r="F49" s="5"/>
    </row>
    <row r="50" ht="12.75">
      <c r="F50" s="5"/>
    </row>
    <row r="51" ht="12.75">
      <c r="F51" s="5"/>
    </row>
    <row r="52" ht="12.75">
      <c r="F52" s="5"/>
    </row>
    <row r="53" ht="12.75">
      <c r="F53" s="5"/>
    </row>
    <row r="54" ht="12.75">
      <c r="F54" s="5"/>
    </row>
  </sheetData>
  <sheetProtection/>
  <printOptions horizontalCentered="1"/>
  <pageMargins left="0.7874015748031497" right="0.7874015748031497" top="0.984251968503937" bottom="0.984251968503937" header="0" footer="0"/>
  <pageSetup horizontalDpi="300" verticalDpi="300" orientation="landscape" scale="105" r:id="rId3"/>
  <headerFooter alignWithMargins="0">
    <oddHeader>&amp;L&amp;"Book Antiqua,Negrita Cursiva"Asociación Nacional de Empleados 
             Poder Judicial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I26"/>
  <sheetViews>
    <sheetView zoomScalePageLayoutView="0" workbookViewId="0" topLeftCell="A1">
      <selection activeCell="B7" sqref="B7:E25"/>
    </sheetView>
  </sheetViews>
  <sheetFormatPr defaultColWidth="11.421875" defaultRowHeight="12.75"/>
  <cols>
    <col min="1" max="1" width="4.00390625" style="15" customWidth="1"/>
    <col min="2" max="2" width="14.28125" style="15" customWidth="1"/>
    <col min="3" max="3" width="43.140625" style="15" customWidth="1"/>
    <col min="4" max="5" width="11.421875" style="18" customWidth="1"/>
    <col min="6" max="16384" width="11.421875" style="15" customWidth="1"/>
  </cols>
  <sheetData>
    <row r="1" ht="26.25" customHeight="1"/>
    <row r="2" ht="26.25" customHeight="1"/>
    <row r="3" spans="2:3" ht="12.75">
      <c r="B3" s="16"/>
      <c r="C3" s="16"/>
    </row>
    <row r="4" spans="2:3" ht="14.25">
      <c r="B4" s="16"/>
      <c r="C4" s="53" t="s">
        <v>57</v>
      </c>
    </row>
    <row r="5" ht="13.5" thickBot="1"/>
    <row r="6" spans="2:5" s="17" customFormat="1" ht="28.5" customHeight="1" thickBot="1">
      <c r="B6" s="91" t="s">
        <v>52</v>
      </c>
      <c r="C6" s="96" t="s">
        <v>53</v>
      </c>
      <c r="D6" s="52" t="s">
        <v>54</v>
      </c>
      <c r="E6" s="101" t="s">
        <v>73</v>
      </c>
    </row>
    <row r="7" spans="2:5" s="5" customFormat="1" ht="15" customHeight="1" thickTop="1">
      <c r="B7" s="93"/>
      <c r="C7" s="98"/>
      <c r="D7"/>
      <c r="E7" s="98"/>
    </row>
    <row r="8" spans="2:5" s="5" customFormat="1" ht="15" customHeight="1">
      <c r="B8" s="94"/>
      <c r="C8" s="99"/>
      <c r="D8"/>
      <c r="E8" s="99"/>
    </row>
    <row r="9" spans="2:5" s="5" customFormat="1" ht="15" customHeight="1">
      <c r="B9" s="94"/>
      <c r="C9" s="99"/>
      <c r="D9"/>
      <c r="E9" s="99"/>
    </row>
    <row r="10" spans="2:5" s="5" customFormat="1" ht="15" customHeight="1">
      <c r="B10" s="94"/>
      <c r="C10" s="99"/>
      <c r="D10"/>
      <c r="E10" s="99"/>
    </row>
    <row r="11" spans="2:5" s="5" customFormat="1" ht="15" customHeight="1">
      <c r="B11" s="94"/>
      <c r="C11" s="99"/>
      <c r="D11"/>
      <c r="E11" s="99"/>
    </row>
    <row r="12" spans="2:5" s="5" customFormat="1" ht="15" customHeight="1">
      <c r="B12" s="94"/>
      <c r="C12" s="99"/>
      <c r="D12"/>
      <c r="E12" s="99"/>
    </row>
    <row r="13" spans="2:5" s="5" customFormat="1" ht="15" customHeight="1">
      <c r="B13" s="94"/>
      <c r="C13" s="99"/>
      <c r="D13"/>
      <c r="E13" s="99"/>
    </row>
    <row r="14" spans="2:5" s="5" customFormat="1" ht="15" customHeight="1">
      <c r="B14" s="94"/>
      <c r="C14" s="99"/>
      <c r="D14"/>
      <c r="E14" s="99"/>
    </row>
    <row r="15" spans="2:5" s="5" customFormat="1" ht="15" customHeight="1">
      <c r="B15" s="94"/>
      <c r="C15" s="99"/>
      <c r="D15"/>
      <c r="E15" s="99"/>
    </row>
    <row r="16" spans="2:5" s="5" customFormat="1" ht="15" customHeight="1">
      <c r="B16" s="94"/>
      <c r="C16" s="99"/>
      <c r="D16"/>
      <c r="E16" s="99"/>
    </row>
    <row r="17" spans="2:5" s="5" customFormat="1" ht="15" customHeight="1">
      <c r="B17" s="94"/>
      <c r="C17" s="99"/>
      <c r="D17"/>
      <c r="E17" s="99"/>
    </row>
    <row r="18" spans="2:5" s="5" customFormat="1" ht="15" customHeight="1">
      <c r="B18" s="94"/>
      <c r="C18" s="99"/>
      <c r="D18"/>
      <c r="E18" s="99"/>
    </row>
    <row r="19" spans="2:5" s="5" customFormat="1" ht="15" customHeight="1">
      <c r="B19" s="94"/>
      <c r="C19" s="99"/>
      <c r="D19"/>
      <c r="E19" s="99"/>
    </row>
    <row r="20" spans="2:5" s="5" customFormat="1" ht="15" customHeight="1">
      <c r="B20" s="94"/>
      <c r="C20" s="99"/>
      <c r="D20"/>
      <c r="E20" s="99"/>
    </row>
    <row r="21" spans="2:5" s="5" customFormat="1" ht="15" customHeight="1">
      <c r="B21" s="94"/>
      <c r="C21" s="99"/>
      <c r="D21"/>
      <c r="E21" s="99"/>
    </row>
    <row r="22" spans="2:5" s="5" customFormat="1" ht="15" customHeight="1">
      <c r="B22" s="94"/>
      <c r="C22" s="99"/>
      <c r="D22"/>
      <c r="E22" s="99"/>
    </row>
    <row r="23" spans="2:5" s="5" customFormat="1" ht="15" customHeight="1">
      <c r="B23" s="94"/>
      <c r="C23" s="99"/>
      <c r="D23"/>
      <c r="E23" s="99"/>
    </row>
    <row r="24" spans="2:5" s="5" customFormat="1" ht="15" customHeight="1">
      <c r="B24" s="94"/>
      <c r="C24" s="99"/>
      <c r="D24"/>
      <c r="E24" s="99"/>
    </row>
    <row r="25" spans="2:5" s="5" customFormat="1" ht="15" customHeight="1" thickBot="1">
      <c r="B25" s="95"/>
      <c r="C25" s="100"/>
      <c r="D25"/>
      <c r="E25" s="100"/>
    </row>
    <row r="26" spans="2:9" s="5" customFormat="1" ht="15" customHeight="1" thickBot="1" thickTop="1">
      <c r="B26" s="92"/>
      <c r="C26" s="97"/>
      <c r="D26" s="60">
        <f>SUM(D7:D25)</f>
        <v>0</v>
      </c>
      <c r="E26" s="97"/>
      <c r="I26" s="5" t="s">
        <v>72</v>
      </c>
    </row>
  </sheetData>
  <sheetProtection/>
  <printOptions horizontalCentered="1"/>
  <pageMargins left="0.7874015748031497" right="0.7874015748031497" top="0.984251968503937" bottom="0.984251968503937" header="0" footer="0"/>
  <pageSetup horizontalDpi="1200" verticalDpi="12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Aranguiz</dc:creator>
  <cp:keywords/>
  <dc:description/>
  <cp:lastModifiedBy>Cristian</cp:lastModifiedBy>
  <cp:lastPrinted>2022-06-16T02:02:49Z</cp:lastPrinted>
  <dcterms:created xsi:type="dcterms:W3CDTF">2000-09-21T06:07:13Z</dcterms:created>
  <dcterms:modified xsi:type="dcterms:W3CDTF">2022-06-16T02:04:01Z</dcterms:modified>
  <cp:category/>
  <cp:version/>
  <cp:contentType/>
  <cp:contentStatus/>
</cp:coreProperties>
</file>