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4000" windowHeight="9738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'informe'!$E$4:$E$209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8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<sst xmlns="http://schemas.openxmlformats.org/spreadsheetml/2006/main" count="349" uniqueCount="247">
  <si>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</si>
  <si>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</si>
  <si>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</si>
  <si>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</si>
  <si>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</si>
  <si>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</si>
  <si>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</si>
  <si>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</si>
  <si>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</si>
  <si>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</si>
  <si>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</si>
  <si>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</si>
  <si>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</si>
  <si>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</si>
  <si>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</si>
  <si>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</si>
  <si>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</si>
  <si>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</si>
  <si>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</si>
  <si>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</si>
  <si>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</si>
  <si>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</si>
  <si>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</si>
  <si>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</si>
  <si>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</si>
  <si>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</si>
  <si>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</si>
  <si>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</si>
  <si>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</si>
  <si>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</si>
  <si>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</si>
  <si>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</si>
  <si>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</si>
  <si>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</si>
  <si>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</si>
  <si>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</si>
  <si>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</si>
  <si>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</si>
  <si>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</si>
  <si>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</si>
  <si>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</si>
  <si>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</si>
  <si>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</si>
  <si>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</si>
  <si>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</si>
  <si>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</si>
  <si>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</si>
  <si>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</si>
  <si>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</si>
  <si>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</si>
  <si>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</si>
  <si>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</si>
  <si>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</si>
  <si>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</si>
  <si>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</si>
  <si>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</si>
  <si>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</si>
  <si>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</si>
  <si>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</si>
  <si>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</si>
  <si>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</si>
  <si>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</si>
  <si>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</si>
  <si>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</si>
  <si>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</si>
  <si>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</si>
  <si>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</si>
  <si>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</si>
  <si>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</si>
  <si>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</si>
  <si>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</si>
  <si>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</si>
  <si>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>ISAPRE CONSALUD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</si>
  <si>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</si>
  <si>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</si>
  <si>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</si>
  <si>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</si>
  <si>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</si>
  <si>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</si>
  <si>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</si>
  <si>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COMITÉ DE AGUA POTABLE MEHUIN</t>
  </si>
  <si>
    <t>HOGAR</t>
  </si>
  <si>
    <t>Estadía</t>
  </si>
  <si>
    <t>MARIA HUENULLAN</t>
  </si>
  <si>
    <t>Tv Cable</t>
  </si>
  <si>
    <t>Consumo luz</t>
  </si>
  <si>
    <t>Telefono e internet Secretaria y Hogar</t>
  </si>
  <si>
    <t>Telefono Tesoreria</t>
  </si>
  <si>
    <t>Consumo Agua</t>
  </si>
  <si>
    <t>Consumo Luz Loncura</t>
  </si>
  <si>
    <t>Estadia</t>
  </si>
  <si>
    <t>MOVISTAR S,A</t>
  </si>
  <si>
    <t>Internet Loncura</t>
  </si>
  <si>
    <t>HOGAR C</t>
  </si>
  <si>
    <t>REGIONAL SANTIAGO</t>
  </si>
  <si>
    <t xml:space="preserve">Deposito impto. </t>
  </si>
  <si>
    <t>TURISMO ESQUERRE</t>
  </si>
  <si>
    <t>MAPFRE</t>
  </si>
  <si>
    <t>Seguro incendio</t>
  </si>
  <si>
    <t>REGIONAL TEMUCO</t>
  </si>
  <si>
    <t>DAVIS RIQUELME</t>
  </si>
  <si>
    <t>NAYARET QUEVEDO</t>
  </si>
  <si>
    <t xml:space="preserve">Recarga Coñaripe </t>
  </si>
  <si>
    <t>Modem Plan Internet Salon 3 er piso</t>
  </si>
  <si>
    <t>CLAUDIA OPORTO</t>
  </si>
  <si>
    <t>SERVIPAG</t>
  </si>
  <si>
    <t>Pago celular e Internet Yehimy</t>
  </si>
  <si>
    <t xml:space="preserve">Consumo luz Coñaripe y Mehuin </t>
  </si>
  <si>
    <t>CLAUDIO AROS</t>
  </si>
  <si>
    <t>Gas Hogar</t>
  </si>
  <si>
    <t>REMIGIO CASTRO</t>
  </si>
  <si>
    <t>VICTOR CARTAGENA</t>
  </si>
  <si>
    <t>Trabajos varios</t>
  </si>
  <si>
    <t>Compra Arts.escritorio</t>
  </si>
  <si>
    <t>Gas Coñaripe</t>
  </si>
  <si>
    <t>Pasaje Claudia Oporto Reunion julio</t>
  </si>
  <si>
    <t>Aseosria Julio</t>
  </si>
  <si>
    <t>Pasaje David Riquelme julio</t>
  </si>
  <si>
    <t>LILIAN HUANCA</t>
  </si>
  <si>
    <t>VERONICA DURAN</t>
  </si>
  <si>
    <t>Devolución cuota social</t>
  </si>
  <si>
    <t>METLIFE SEGURO</t>
  </si>
  <si>
    <t>VICTOR GALLEGOS</t>
  </si>
  <si>
    <t>JOSE ALVAREZ</t>
  </si>
  <si>
    <t>CHRISTIAN GUIÑEZ</t>
  </si>
  <si>
    <t>Diferencia descuento julio Reg.Valdivia</t>
  </si>
  <si>
    <t>Deposito cotizaciones julio</t>
  </si>
  <si>
    <t>ARRIENDO SALON</t>
  </si>
  <si>
    <t>Arriendo Salon</t>
  </si>
  <si>
    <t>CRISTINA GUESALAGA</t>
  </si>
  <si>
    <t>Descuento agosto</t>
  </si>
  <si>
    <t>RODRIGO SALINAS</t>
  </si>
  <si>
    <t>50 % internet teletrabajo</t>
  </si>
  <si>
    <t>CRISTINA SILVA</t>
  </si>
  <si>
    <t>Traslado uber Reunión</t>
  </si>
  <si>
    <t>SUELDO</t>
  </si>
  <si>
    <t>JUAN CIRO LOPEZ</t>
  </si>
  <si>
    <t>Julio</t>
  </si>
  <si>
    <t>YEHIMY LLAMOCA</t>
  </si>
  <si>
    <t>WALESKA AGUILAR</t>
  </si>
  <si>
    <t>SOFTLAND INGENIERIA</t>
  </si>
  <si>
    <t>Renovacion sistema cloud</t>
  </si>
  <si>
    <t>ALVARO PARDOW</t>
  </si>
  <si>
    <t>ELBA QUEZADA</t>
  </si>
  <si>
    <t>VOTALATAM</t>
  </si>
  <si>
    <t>2da Votación electronica</t>
  </si>
  <si>
    <t>VICTOR SALAZAR</t>
  </si>
  <si>
    <t>Viáticos Reunión tesoreria</t>
  </si>
  <si>
    <t>Reembolso viáticos Reunion</t>
  </si>
  <si>
    <t>Viático Reunión revisión techo</t>
  </si>
  <si>
    <t>MANUEL ALVARADO</t>
  </si>
  <si>
    <t>Reembolso viaticos reunion junio</t>
  </si>
  <si>
    <t>CARLOS VERDUGO</t>
  </si>
  <si>
    <t>JULIETA VEGA</t>
  </si>
  <si>
    <t>Trasdo reunión directorio</t>
  </si>
  <si>
    <t>Julio y Agosto</t>
  </si>
  <si>
    <t>ANA CANEO</t>
  </si>
  <si>
    <t>VALENTINA CACERES</t>
  </si>
  <si>
    <t>JULIO HORMAZABAL</t>
  </si>
  <si>
    <t>RAQUEL ARIAS</t>
  </si>
  <si>
    <t>Viático consultivo</t>
  </si>
  <si>
    <t>Gtos traslado y viaticos reunion</t>
  </si>
  <si>
    <t>Reemplazo encargado hogar julio</t>
  </si>
  <si>
    <t xml:space="preserve">Pje. Raquel Arias Buenos aires </t>
  </si>
  <si>
    <t>Cena socios Regional Valdivia</t>
  </si>
  <si>
    <t>Regalos funcionarios Regional Valdivia</t>
  </si>
  <si>
    <t>FONDOS POR RENDIR</t>
  </si>
  <si>
    <t>Fondos por rendir Coñaripe</t>
  </si>
  <si>
    <t xml:space="preserve">Pje. Lilian Huanca Buenos aires </t>
  </si>
  <si>
    <t>MARIO SALAZAR</t>
  </si>
  <si>
    <t>Asesoria Juridica julio</t>
  </si>
  <si>
    <t>Viaticos y traslado Reunión Julio</t>
  </si>
  <si>
    <t>Pasaje Raquel Arias Reunion  agosto</t>
  </si>
  <si>
    <t>CLAUDIO BRIONES</t>
  </si>
  <si>
    <t xml:space="preserve">Devolución descuento </t>
  </si>
  <si>
    <t>Regalo cumpleaño</t>
  </si>
  <si>
    <t>GUILLERMO AGUILAR</t>
  </si>
  <si>
    <t>Aseo hogar julio</t>
  </si>
  <si>
    <t>Instalación equipos, enchufes y reparaciones varias</t>
  </si>
  <si>
    <t>Compra detergentes</t>
  </si>
  <si>
    <t>MARCELA PARRA</t>
  </si>
  <si>
    <t>Devolución descuento efectuado</t>
  </si>
  <si>
    <t>Pagos convenio Regional julio</t>
  </si>
  <si>
    <t>Consumo agua Mehuin julio</t>
  </si>
  <si>
    <t>JENNY SAEZ</t>
  </si>
  <si>
    <t>Devolución pago mantención calefont Coñaripe</t>
  </si>
  <si>
    <t>Reembolso viáticos reunion julio</t>
  </si>
  <si>
    <t xml:space="preserve">Articulos aseo </t>
  </si>
  <si>
    <t>Reemplazo vacaciones Pablo Caceres</t>
  </si>
  <si>
    <t>EDUARDO BRAVO</t>
  </si>
  <si>
    <t>Limpieza fosas Coñaripe</t>
  </si>
  <si>
    <t>Consumo Luz</t>
  </si>
  <si>
    <t xml:space="preserve">Pje.Juan Carlos Hidalgo Buenos aires </t>
  </si>
  <si>
    <t>Pago cotizaciones julio</t>
  </si>
  <si>
    <t>Viáticos 300 dolares</t>
  </si>
  <si>
    <t>Retención 10% y imptos. Unico julio</t>
  </si>
  <si>
    <t>Atención Reunion Directorio julio y Consultivo</t>
  </si>
  <si>
    <t>HDI SEGUROS</t>
  </si>
  <si>
    <t>Pago Seguro hogar y Loncura</t>
  </si>
  <si>
    <t>JUAN CARLOS HIDALGO</t>
  </si>
  <si>
    <t>Pje. Christian Guiñez Reg. Valdivia</t>
  </si>
  <si>
    <t>Pasaje Regional Valdivia</t>
  </si>
  <si>
    <t>Reembolso viaticos reunion</t>
  </si>
  <si>
    <t>Reembolso movilización lavado Coñaripe</t>
  </si>
  <si>
    <t>Aporte Damne Jatif Regional Valdivia</t>
  </si>
  <si>
    <t>Pasaje Lilian Huanca Reunion agosto</t>
  </si>
  <si>
    <t>Articulos aseo Loncura</t>
  </si>
  <si>
    <t>Lavado ropa cama Coñaripe</t>
  </si>
  <si>
    <t>OSCAR MANRIQUEZ</t>
  </si>
  <si>
    <t>Instalación Calefont Coñaripe</t>
  </si>
  <si>
    <t>DAFNE SILVA</t>
  </si>
  <si>
    <t>Viático 300 dolares paraguay</t>
  </si>
  <si>
    <t>Gastos víaticos y rembolso</t>
  </si>
  <si>
    <t>Seguro directorio  febrero</t>
  </si>
  <si>
    <t>Compra mercaderia Loncura</t>
  </si>
  <si>
    <t>Fondos por rendir Loncura</t>
  </si>
  <si>
    <t>ENILDE HERNANDEZ</t>
  </si>
  <si>
    <t>Gas Loncura</t>
  </si>
  <si>
    <t>PATRICIO MATUS</t>
  </si>
  <si>
    <t>MARIA MUÑOZ</t>
  </si>
  <si>
    <t xml:space="preserve">Atención Loncura directorio </t>
  </si>
  <si>
    <t>VICTOR FUENTES</t>
  </si>
  <si>
    <t>ELIAS CASTILLO</t>
  </si>
  <si>
    <t>JUAN SOTO</t>
  </si>
  <si>
    <t>ALVARO GONZALEZ</t>
  </si>
  <si>
    <t>Gastos notaria</t>
  </si>
  <si>
    <t>50 % celular teletrabajo julio y agosto</t>
  </si>
  <si>
    <t>Mantención cabaña Coñaripe Julio y agosto</t>
  </si>
  <si>
    <t>Servicios audiovisuales julio y agosto</t>
  </si>
  <si>
    <t>Envio correspondencia agosto</t>
  </si>
  <si>
    <t>Gastos varios Loncura</t>
  </si>
  <si>
    <t>50 % internet teletrabajo julio y agosto</t>
  </si>
  <si>
    <t>AMADEO GNECCO</t>
  </si>
  <si>
    <t>Pago celular institucional julio y agosto</t>
  </si>
  <si>
    <t>Asesoria directorio Julio y agosto</t>
  </si>
  <si>
    <t>DIEGO ROMERO</t>
  </si>
  <si>
    <t>Audio y montaje audiovisual reunión Directorio Loncura</t>
  </si>
  <si>
    <t>Servicio Web julio y agosto</t>
  </si>
  <si>
    <t>Correos google</t>
  </si>
  <si>
    <t>CLAUDIO RIQUELMES</t>
  </si>
  <si>
    <t xml:space="preserve">Banderas y foam </t>
  </si>
  <si>
    <t>Gastos compra monolito</t>
  </si>
  <si>
    <t>Mantención jardin Loncura julio y agosto</t>
  </si>
  <si>
    <t>Mantención cabaña Mehuin Julio y agosto</t>
  </si>
  <si>
    <t>SALDO EN CTA. CTE. AL 31/08/2022</t>
  </si>
  <si>
    <t>AGOSTO 2022</t>
  </si>
  <si>
    <t>SANTIAGO, 20/09/2022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</si>
</sst>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thick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5" tint="-0.4999699890613556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>
        <color indexed="63"/>
      </right>
      <top>
        <color indexed="63"/>
      </top>
      <bottom style="thick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50" xfId="0" applyFont="1" applyFill="1" applyBorder="1" applyAlignment="1">
      <alignment/>
    </xf>
    <xf numFmtId="181" fontId="4" fillId="0" borderId="50" xfId="0" applyNumberFormat="1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1" fontId="2" fillId="0" borderId="50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9" fontId="2" fillId="0" borderId="50" xfId="55" applyFont="1" applyFill="1" applyBorder="1" applyAlignment="1">
      <alignment/>
    </xf>
    <xf numFmtId="9" fontId="3" fillId="0" borderId="50" xfId="55" applyFont="1" applyFill="1" applyBorder="1" applyAlignment="1">
      <alignment/>
    </xf>
    <xf numFmtId="0" fontId="2" fillId="0" borderId="56" xfId="0" applyFont="1" applyFill="1" applyBorder="1" applyAlignment="1">
      <alignment/>
    </xf>
    <xf numFmtId="181" fontId="3" fillId="0" borderId="5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08"/>
  <sheetViews>
    <sheetView tabSelected="1" zoomScalePageLayoutView="0" workbookViewId="0" topLeftCell="A1">
      <pane ySplit="7" topLeftCell="A171" activePane="bottomLeft" state="frozen"/>
      <selection pane="topLeft" activeCell="A1" sqref="A1"/>
      <selection pane="bottomLeft" activeCell="B177" sqref="B177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245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260418120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24372100</v>
      </c>
      <c r="G10" s="23"/>
    </row>
    <row r="11" spans="1:7" ht="15" customHeight="1" hidden="1" outlineLevel="2">
      <c r="A11" s="5"/>
      <c r="B11" s="65" t="s">
        <v>33</v>
      </c>
      <c r="C11" s="32">
        <v>80</v>
      </c>
      <c r="D11" s="73"/>
      <c r="E11" s="70">
        <v>480000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f>93</f>
        <v>93</v>
      </c>
      <c r="D12" s="73"/>
      <c r="E12" s="70">
        <v>558000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v>213</v>
      </c>
      <c r="D13" s="73"/>
      <c r="E13" s="70">
        <v>1278000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151</v>
      </c>
      <c r="D14" s="73"/>
      <c r="E14" s="70">
        <v>912000</v>
      </c>
      <c r="F14" s="6"/>
      <c r="G14" s="23"/>
    </row>
    <row r="15" spans="1:8" ht="15" customHeight="1" hidden="1" outlineLevel="2">
      <c r="A15" s="5"/>
      <c r="B15" s="65" t="s">
        <v>26</v>
      </c>
      <c r="C15" s="32">
        <f>148</f>
        <v>148</v>
      </c>
      <c r="D15" s="73"/>
      <c r="E15" s="70">
        <f>876000</f>
        <v>876000</v>
      </c>
      <c r="F15" s="6"/>
      <c r="G15" s="23"/>
      <c r="H15" s="6"/>
    </row>
    <row r="16" spans="1:8" ht="15" customHeight="1" hidden="1" outlineLevel="2">
      <c r="A16" s="5"/>
      <c r="B16" s="65" t="s">
        <v>35</v>
      </c>
      <c r="C16" s="32">
        <f>1+1+1+441</f>
        <v>444</v>
      </c>
      <c r="D16" s="73"/>
      <c r="E16" s="70">
        <f>2400+18000+2400+2646000</f>
        <v>2668800</v>
      </c>
      <c r="F16" s="6"/>
      <c r="G16" s="23"/>
      <c r="H16" s="6"/>
    </row>
    <row r="17" spans="1:8" ht="15" customHeight="1" hidden="1" outlineLevel="2">
      <c r="A17" s="5"/>
      <c r="B17" s="65" t="s">
        <v>36</v>
      </c>
      <c r="C17" s="32">
        <f>1+1+1+1+1+1+520</f>
        <v>526</v>
      </c>
      <c r="D17" s="73"/>
      <c r="E17" s="70">
        <f>32800+2200+5100+2200+2200+39900+3120000</f>
        <v>3204400</v>
      </c>
      <c r="F17" s="6"/>
      <c r="G17" s="23"/>
      <c r="H17" s="6"/>
    </row>
    <row r="18" spans="1:8" ht="15" customHeight="1" hidden="1" outlineLevel="2">
      <c r="A18" s="5"/>
      <c r="B18" s="65" t="s">
        <v>37</v>
      </c>
      <c r="C18" s="32">
        <f>60</f>
        <v>60</v>
      </c>
      <c r="D18" s="73"/>
      <c r="E18" s="70">
        <v>360000</v>
      </c>
      <c r="F18" s="6"/>
      <c r="G18" s="23"/>
      <c r="H18" s="6"/>
    </row>
    <row r="19" spans="1:8" ht="15" customHeight="1" hidden="1" outlineLevel="2">
      <c r="A19" s="5"/>
      <c r="B19" s="65" t="s">
        <v>24</v>
      </c>
      <c r="C19" s="32">
        <f>1+118</f>
        <v>119</v>
      </c>
      <c r="D19" s="73"/>
      <c r="E19" s="70">
        <f>6000+708000</f>
        <v>714000</v>
      </c>
      <c r="F19" s="6"/>
      <c r="G19" s="23"/>
      <c r="H19" s="6"/>
    </row>
    <row r="20" spans="1:8" ht="15" customHeight="1" hidden="1" outlineLevel="2">
      <c r="A20" s="5"/>
      <c r="B20" s="65" t="s">
        <v>38</v>
      </c>
      <c r="C20" s="32">
        <f>1+1+1+354</f>
        <v>357</v>
      </c>
      <c r="D20" s="73"/>
      <c r="E20" s="70">
        <f>9600+2200+2500+2118000+6000</f>
        <v>2138300</v>
      </c>
      <c r="F20" s="6"/>
      <c r="G20" s="23"/>
      <c r="H20" s="6"/>
    </row>
    <row r="21" spans="1:8" ht="15" customHeight="1" hidden="1" outlineLevel="2">
      <c r="A21" s="5"/>
      <c r="B21" s="65" t="s">
        <v>39</v>
      </c>
      <c r="C21" s="32">
        <f>1+140+1</f>
        <v>142</v>
      </c>
      <c r="D21" s="73"/>
      <c r="E21" s="70">
        <f>2200+840000+6000</f>
        <v>848200</v>
      </c>
      <c r="F21" s="6"/>
      <c r="G21" s="23"/>
      <c r="H21" s="6"/>
    </row>
    <row r="22" spans="1:8" ht="15" customHeight="1" hidden="1" outlineLevel="2">
      <c r="A22" s="5"/>
      <c r="B22" s="65" t="s">
        <v>40</v>
      </c>
      <c r="C22" s="32">
        <f>297+1</f>
        <v>298</v>
      </c>
      <c r="D22" s="73"/>
      <c r="E22" s="69">
        <v>1882000</v>
      </c>
      <c r="F22" s="6"/>
      <c r="G22" s="23"/>
      <c r="H22" s="6"/>
    </row>
    <row r="23" spans="1:8" ht="15" customHeight="1" hidden="1" outlineLevel="2">
      <c r="A23" s="5"/>
      <c r="B23" s="65" t="s">
        <v>23</v>
      </c>
      <c r="C23" s="32">
        <f>1+104+1</f>
        <v>106</v>
      </c>
      <c r="D23" s="73"/>
      <c r="E23" s="70">
        <f>2400+624000+1600</f>
        <v>628000</v>
      </c>
      <c r="F23" s="6"/>
      <c r="G23" s="23"/>
      <c r="H23" s="6"/>
    </row>
    <row r="24" spans="1:8" ht="15" customHeight="1" hidden="1" outlineLevel="2">
      <c r="A24" s="5"/>
      <c r="B24" s="65" t="s">
        <v>41</v>
      </c>
      <c r="C24" s="32">
        <f>1+1+1+389+1+1</f>
        <v>394</v>
      </c>
      <c r="D24" s="73" t="s">
        <v>7</v>
      </c>
      <c r="E24" s="70">
        <f>7200+28800+2200+2334000+2200+4800</f>
        <v>2379200</v>
      </c>
      <c r="F24" s="6"/>
      <c r="G24" s="23"/>
      <c r="H24" s="6"/>
    </row>
    <row r="25" spans="1:8" ht="15" customHeight="1" hidden="1" outlineLevel="2">
      <c r="A25" s="5"/>
      <c r="B25" s="65" t="s">
        <v>29</v>
      </c>
      <c r="C25" s="32">
        <f>263+1</f>
        <v>264</v>
      </c>
      <c r="D25" s="73"/>
      <c r="E25" s="70">
        <f>1578000+7000</f>
        <v>1585000</v>
      </c>
      <c r="F25" s="6"/>
      <c r="G25" s="23"/>
      <c r="H25" s="6"/>
    </row>
    <row r="26" spans="1:8" ht="15" customHeight="1" hidden="1" outlineLevel="2">
      <c r="A26" s="5"/>
      <c r="B26" s="65" t="s">
        <v>42</v>
      </c>
      <c r="C26" s="32">
        <f>1+203</f>
        <v>204</v>
      </c>
      <c r="D26" s="73"/>
      <c r="E26" s="70">
        <f>2200+1218000</f>
        <v>1220200</v>
      </c>
      <c r="F26" s="6"/>
      <c r="G26" s="23"/>
      <c r="H26" s="6"/>
    </row>
    <row r="27" spans="1:8" ht="15" customHeight="1" hidden="1" outlineLevel="2">
      <c r="A27" s="5"/>
      <c r="B27" s="65" t="s">
        <v>30</v>
      </c>
      <c r="C27" s="32">
        <f>206</f>
        <v>206</v>
      </c>
      <c r="D27" s="73"/>
      <c r="E27" s="70">
        <v>1236000</v>
      </c>
      <c r="F27" s="6"/>
      <c r="G27" s="23"/>
      <c r="H27" s="6"/>
    </row>
    <row r="28" spans="1:8" ht="15" customHeight="1" hidden="1" outlineLevel="2">
      <c r="A28" s="5"/>
      <c r="B28" s="65" t="s">
        <v>43</v>
      </c>
      <c r="C28" s="32">
        <v>122</v>
      </c>
      <c r="D28" s="73"/>
      <c r="E28" s="70">
        <v>732000</v>
      </c>
      <c r="F28" s="6"/>
      <c r="G28" s="23"/>
      <c r="H28" s="6"/>
    </row>
    <row r="29" spans="1:8" ht="14.25" customHeight="1" hidden="1" outlineLevel="2">
      <c r="A29" s="5"/>
      <c r="B29" s="65" t="s">
        <v>44</v>
      </c>
      <c r="C29" s="32">
        <v>112</v>
      </c>
      <c r="D29" s="73"/>
      <c r="E29" s="78">
        <v>672000</v>
      </c>
      <c r="F29" s="6"/>
      <c r="G29" s="23"/>
      <c r="H29" s="6"/>
    </row>
    <row r="30" spans="1:8" ht="12" customHeight="1" outlineLevel="2">
      <c r="A30" s="5"/>
      <c r="B30" s="87"/>
      <c r="C30" s="5"/>
      <c r="D30" s="63"/>
      <c r="E30" s="78"/>
      <c r="F30" s="6"/>
      <c r="G30" s="23"/>
      <c r="H30" s="6"/>
    </row>
    <row r="31" spans="1:8" ht="15" customHeight="1" outlineLevel="2">
      <c r="A31" s="5"/>
      <c r="B31" s="86" t="s">
        <v>5</v>
      </c>
      <c r="C31" s="11"/>
      <c r="D31" s="63"/>
      <c r="E31" s="70"/>
      <c r="F31" s="6"/>
      <c r="G31" s="23"/>
      <c r="H31" s="6"/>
    </row>
    <row r="32" spans="1:8" ht="15" customHeight="1" outlineLevel="2">
      <c r="A32" s="5"/>
      <c r="B32" s="65" t="s">
        <v>81</v>
      </c>
      <c r="C32" s="11"/>
      <c r="D32" s="5" t="s">
        <v>90</v>
      </c>
      <c r="E32" s="70">
        <f>40000+150000+20000+10000+10000+20000+30000+15000+20000+20000+42000+30000+20000+10000+25000+40000+100000+63333+60000+10000+85000+10000+120000</f>
        <v>950333</v>
      </c>
      <c r="F32" s="6"/>
      <c r="G32" s="23"/>
      <c r="H32" s="6"/>
    </row>
    <row r="33" spans="1:8" ht="15" customHeight="1" outlineLevel="2">
      <c r="A33" s="5"/>
      <c r="B33" s="65" t="s">
        <v>127</v>
      </c>
      <c r="C33" s="11"/>
      <c r="D33" s="5" t="s">
        <v>128</v>
      </c>
      <c r="E33" s="70">
        <v>35000</v>
      </c>
      <c r="F33" s="6"/>
      <c r="G33" s="23"/>
      <c r="H33" s="6"/>
    </row>
    <row r="34" spans="1:8" ht="15" customHeight="1" outlineLevel="2">
      <c r="A34" s="5"/>
      <c r="B34" s="65" t="s">
        <v>94</v>
      </c>
      <c r="C34" s="32"/>
      <c r="D34" s="5" t="s">
        <v>95</v>
      </c>
      <c r="E34" s="70">
        <f>5584+27920+9074+53982+11168+75301+40000</f>
        <v>223029</v>
      </c>
      <c r="F34" s="6"/>
      <c r="G34" s="23"/>
      <c r="H34" s="6"/>
    </row>
    <row r="35" spans="1:8" ht="15" customHeight="1" outlineLevel="2">
      <c r="A35" s="5"/>
      <c r="B35" s="65" t="s">
        <v>75</v>
      </c>
      <c r="C35" s="32"/>
      <c r="D35" s="5" t="s">
        <v>130</v>
      </c>
      <c r="E35" s="70">
        <f>12075351+2020455</f>
        <v>14095806</v>
      </c>
      <c r="F35" s="6"/>
      <c r="G35" s="23"/>
      <c r="H35" s="6"/>
    </row>
    <row r="36" spans="1:8" ht="15" customHeight="1" outlineLevel="2">
      <c r="A36" s="5"/>
      <c r="B36" s="65" t="s">
        <v>99</v>
      </c>
      <c r="C36" s="32"/>
      <c r="D36" s="5" t="s">
        <v>126</v>
      </c>
      <c r="E36" s="70">
        <v>163089</v>
      </c>
      <c r="F36" s="6"/>
      <c r="G36" s="23"/>
      <c r="H36" s="6"/>
    </row>
    <row r="37" spans="1:8" ht="15" customHeight="1" outlineLevel="2">
      <c r="A37" s="5"/>
      <c r="B37" s="65" t="s">
        <v>122</v>
      </c>
      <c r="C37" s="32"/>
      <c r="D37" s="5" t="s">
        <v>125</v>
      </c>
      <c r="E37" s="70">
        <v>16846</v>
      </c>
      <c r="F37" s="6"/>
      <c r="G37" s="23"/>
      <c r="H37" s="6"/>
    </row>
    <row r="38" spans="1:8" ht="15" customHeight="1" outlineLevel="2">
      <c r="A38" s="5"/>
      <c r="B38" s="65" t="s">
        <v>123</v>
      </c>
      <c r="C38" s="32"/>
      <c r="D38" s="5" t="s">
        <v>125</v>
      </c>
      <c r="E38" s="70">
        <v>5024</v>
      </c>
      <c r="F38" s="6"/>
      <c r="G38" s="23"/>
      <c r="H38" s="6"/>
    </row>
    <row r="39" spans="1:8" ht="15" customHeight="1" outlineLevel="2">
      <c r="A39" s="5"/>
      <c r="B39" s="65" t="s">
        <v>124</v>
      </c>
      <c r="C39" s="32"/>
      <c r="D39" s="5" t="s">
        <v>125</v>
      </c>
      <c r="E39" s="70">
        <v>6514</v>
      </c>
      <c r="F39" s="6"/>
      <c r="G39" s="23"/>
      <c r="H39" s="6"/>
    </row>
    <row r="40" spans="1:7" ht="15" customHeight="1" outlineLevel="2">
      <c r="A40" s="5"/>
      <c r="B40" s="65" t="s">
        <v>129</v>
      </c>
      <c r="C40" s="32"/>
      <c r="D40" s="5" t="s">
        <v>125</v>
      </c>
      <c r="E40" s="70">
        <v>31485</v>
      </c>
      <c r="F40" s="6">
        <f>SUM(E32:E40)</f>
        <v>15527126</v>
      </c>
      <c r="G40" s="23"/>
    </row>
    <row r="41" spans="1:7" ht="15" customHeight="1" outlineLevel="2">
      <c r="A41" s="5"/>
      <c r="B41" s="65"/>
      <c r="C41" s="32"/>
      <c r="D41" s="5"/>
      <c r="E41" s="70"/>
      <c r="F41" s="6"/>
      <c r="G41" s="23"/>
    </row>
    <row r="42" spans="1:7" ht="15" customHeight="1" outlineLevel="2">
      <c r="A42" s="5"/>
      <c r="B42" s="65"/>
      <c r="C42" s="32"/>
      <c r="D42" s="5"/>
      <c r="E42" s="78"/>
      <c r="F42" s="6"/>
      <c r="G42" s="23"/>
    </row>
    <row r="43" spans="1:7" ht="15" customHeight="1" outlineLevel="2">
      <c r="A43" s="5" t="s">
        <v>7</v>
      </c>
      <c r="B43" s="86" t="s">
        <v>8</v>
      </c>
      <c r="C43" s="33"/>
      <c r="D43" s="11"/>
      <c r="E43" s="70"/>
      <c r="F43" s="6"/>
      <c r="G43" s="23"/>
    </row>
    <row r="44" spans="1:7" ht="15" customHeight="1" outlineLevel="2" thickBot="1">
      <c r="A44" s="5"/>
      <c r="B44" s="88" t="s">
        <v>79</v>
      </c>
      <c r="C44" s="33"/>
      <c r="D44" s="61" t="s">
        <v>82</v>
      </c>
      <c r="E44" s="102">
        <f>30000+30000+30000+30000+30000+144000</f>
        <v>294000</v>
      </c>
      <c r="F44" s="103">
        <f>SUM(E44:E44)</f>
        <v>294000</v>
      </c>
      <c r="G44" s="104"/>
    </row>
    <row r="45" spans="1:7" ht="11.25" outlineLevel="2">
      <c r="A45" s="5"/>
      <c r="B45" s="89" t="s">
        <v>9</v>
      </c>
      <c r="C45" s="80"/>
      <c r="D45" s="5"/>
      <c r="E45" s="65"/>
      <c r="F45" s="6"/>
      <c r="G45" s="69"/>
    </row>
    <row r="46" spans="1:7" ht="15" customHeight="1" outlineLevel="2">
      <c r="A46" s="5"/>
      <c r="B46" s="86" t="s">
        <v>10</v>
      </c>
      <c r="C46" s="81"/>
      <c r="D46" s="11"/>
      <c r="E46" s="70"/>
      <c r="F46" s="6"/>
      <c r="G46" s="69"/>
    </row>
    <row r="47" spans="1:7" ht="14.25" customHeight="1" outlineLevel="2">
      <c r="A47" s="5"/>
      <c r="B47" s="65" t="s">
        <v>173</v>
      </c>
      <c r="C47" s="81"/>
      <c r="D47" s="5" t="s">
        <v>174</v>
      </c>
      <c r="E47" s="70">
        <v>58219</v>
      </c>
      <c r="F47" s="6"/>
      <c r="G47" s="69"/>
    </row>
    <row r="48" spans="1:7" ht="14.25" customHeight="1" outlineLevel="2">
      <c r="A48" s="5"/>
      <c r="B48" s="65" t="s">
        <v>142</v>
      </c>
      <c r="C48" s="81"/>
      <c r="D48" s="5" t="s">
        <v>237</v>
      </c>
      <c r="E48" s="70">
        <f>400000+400000</f>
        <v>800000</v>
      </c>
      <c r="F48" s="6"/>
      <c r="G48" s="69"/>
    </row>
    <row r="49" spans="1:7" ht="14.25" customHeight="1" outlineLevel="2">
      <c r="A49" s="5"/>
      <c r="B49" s="65" t="s">
        <v>142</v>
      </c>
      <c r="C49" s="81"/>
      <c r="D49" s="5" t="s">
        <v>238</v>
      </c>
      <c r="E49" s="70">
        <v>165000</v>
      </c>
      <c r="F49" s="6"/>
      <c r="G49" s="69"/>
    </row>
    <row r="50" spans="1:7" ht="14.25" customHeight="1" outlineLevel="2">
      <c r="A50" s="5"/>
      <c r="B50" s="65" t="s">
        <v>136</v>
      </c>
      <c r="C50" s="81"/>
      <c r="D50" s="5" t="s">
        <v>175</v>
      </c>
      <c r="E50" s="70">
        <v>25000</v>
      </c>
      <c r="F50" s="6"/>
      <c r="G50" s="69"/>
    </row>
    <row r="51" spans="1:7" ht="14.25" customHeight="1" outlineLevel="2">
      <c r="A51" s="5"/>
      <c r="B51" s="65" t="s">
        <v>110</v>
      </c>
      <c r="C51" s="81"/>
      <c r="D51" s="5" t="s">
        <v>229</v>
      </c>
      <c r="E51" s="70">
        <v>8000</v>
      </c>
      <c r="F51" s="6"/>
      <c r="G51" s="69"/>
    </row>
    <row r="52" spans="1:7" ht="14.25" customHeight="1" outlineLevel="2">
      <c r="A52" s="5"/>
      <c r="B52" s="65" t="s">
        <v>218</v>
      </c>
      <c r="C52" s="81"/>
      <c r="D52" s="5" t="s">
        <v>120</v>
      </c>
      <c r="E52" s="70">
        <v>18000</v>
      </c>
      <c r="F52" s="6"/>
      <c r="G52" s="69"/>
    </row>
    <row r="53" spans="1:7" ht="14.25" customHeight="1" outlineLevel="2">
      <c r="A53" s="5"/>
      <c r="B53" s="65" t="s">
        <v>105</v>
      </c>
      <c r="C53" s="81"/>
      <c r="D53" s="5" t="s">
        <v>106</v>
      </c>
      <c r="E53" s="70">
        <f>20957+7990</f>
        <v>28947</v>
      </c>
      <c r="F53" s="6"/>
      <c r="G53" s="69"/>
    </row>
    <row r="54" spans="1:7" ht="14.25" customHeight="1" outlineLevel="2">
      <c r="A54" s="5"/>
      <c r="B54" s="65" t="s">
        <v>144</v>
      </c>
      <c r="C54" s="81"/>
      <c r="D54" s="5" t="s">
        <v>145</v>
      </c>
      <c r="E54" s="70">
        <v>2400000</v>
      </c>
      <c r="F54" s="6"/>
      <c r="G54" s="69"/>
    </row>
    <row r="55" spans="1:7" ht="14.25" customHeight="1" outlineLevel="2">
      <c r="A55" s="5"/>
      <c r="B55" s="65" t="s">
        <v>57</v>
      </c>
      <c r="C55" s="81"/>
      <c r="D55" s="5" t="s">
        <v>231</v>
      </c>
      <c r="E55" s="70">
        <f>18225+14255</f>
        <v>32480</v>
      </c>
      <c r="F55" s="6"/>
      <c r="G55" s="69"/>
    </row>
    <row r="56" spans="1:7" ht="14.25" customHeight="1" outlineLevel="2">
      <c r="A56" s="5"/>
      <c r="B56" s="65" t="s">
        <v>60</v>
      </c>
      <c r="C56" s="81"/>
      <c r="D56" s="5" t="s">
        <v>132</v>
      </c>
      <c r="E56" s="70">
        <f>3995+3995</f>
        <v>7990</v>
      </c>
      <c r="F56" s="6"/>
      <c r="G56" s="69"/>
    </row>
    <row r="57" spans="1:7" ht="14.25" customHeight="1" outlineLevel="2">
      <c r="A57" s="5"/>
      <c r="B57" s="65" t="s">
        <v>133</v>
      </c>
      <c r="C57" s="81"/>
      <c r="D57" s="5" t="s">
        <v>134</v>
      </c>
      <c r="E57" s="70">
        <v>11953</v>
      </c>
      <c r="F57" s="6"/>
      <c r="G57" s="69"/>
    </row>
    <row r="58" spans="1:7" ht="14.25" customHeight="1" outlineLevel="2">
      <c r="A58" s="5"/>
      <c r="B58" s="65" t="s">
        <v>138</v>
      </c>
      <c r="C58" s="81"/>
      <c r="D58" s="5" t="s">
        <v>154</v>
      </c>
      <c r="E58" s="70">
        <v>8510</v>
      </c>
      <c r="F58" s="6"/>
      <c r="G58" s="69"/>
    </row>
    <row r="59" spans="1:7" ht="14.25" customHeight="1" outlineLevel="2">
      <c r="A59" s="5"/>
      <c r="B59" s="65" t="s">
        <v>140</v>
      </c>
      <c r="C59" s="81"/>
      <c r="D59" s="5" t="s">
        <v>141</v>
      </c>
      <c r="E59" s="70">
        <v>758776</v>
      </c>
      <c r="F59" s="6"/>
      <c r="G59" s="69"/>
    </row>
    <row r="60" spans="1:7" ht="14.25" customHeight="1" outlineLevel="2">
      <c r="A60" s="5"/>
      <c r="B60" s="65" t="s">
        <v>224</v>
      </c>
      <c r="C60" s="81"/>
      <c r="D60" s="5" t="s">
        <v>225</v>
      </c>
      <c r="E60" s="70">
        <v>170000</v>
      </c>
      <c r="F60" s="6"/>
      <c r="G60" s="69"/>
    </row>
    <row r="61" spans="1:7" ht="14.25" customHeight="1" outlineLevel="2">
      <c r="A61" s="5"/>
      <c r="B61" s="65" t="s">
        <v>235</v>
      </c>
      <c r="C61" s="81"/>
      <c r="D61" s="5" t="s">
        <v>236</v>
      </c>
      <c r="E61" s="70">
        <v>96581</v>
      </c>
      <c r="F61" s="6"/>
      <c r="G61" s="69"/>
    </row>
    <row r="62" spans="1:7" ht="14.25" customHeight="1" outlineLevel="2">
      <c r="A62" s="5"/>
      <c r="B62" s="65" t="s">
        <v>60</v>
      </c>
      <c r="C62" s="81"/>
      <c r="D62" s="5" t="s">
        <v>231</v>
      </c>
      <c r="E62" s="70">
        <f>11731+11731</f>
        <v>23462</v>
      </c>
      <c r="F62" s="6"/>
      <c r="G62" s="69"/>
    </row>
    <row r="63" spans="1:7" ht="14.25" customHeight="1" outlineLevel="2">
      <c r="A63" s="5"/>
      <c r="B63" s="65" t="s">
        <v>60</v>
      </c>
      <c r="C63" s="81"/>
      <c r="D63" s="5" t="s">
        <v>113</v>
      </c>
      <c r="E63" s="70">
        <v>25960</v>
      </c>
      <c r="F63" s="6"/>
      <c r="G63" s="69"/>
    </row>
    <row r="64" spans="1:7" ht="14.25" customHeight="1" outlineLevel="2">
      <c r="A64" s="5"/>
      <c r="B64" s="65" t="s">
        <v>69</v>
      </c>
      <c r="C64" s="81"/>
      <c r="D64" s="5" t="s">
        <v>231</v>
      </c>
      <c r="E64" s="70">
        <f>4834+4995</f>
        <v>9829</v>
      </c>
      <c r="F64" s="6"/>
      <c r="G64" s="69"/>
    </row>
    <row r="65" spans="1:7" ht="14.25" customHeight="1" outlineLevel="2">
      <c r="A65" s="5"/>
      <c r="B65" s="65" t="s">
        <v>69</v>
      </c>
      <c r="C65" s="81"/>
      <c r="D65" s="5" t="s">
        <v>226</v>
      </c>
      <c r="E65" s="70">
        <f>4995+4995</f>
        <v>9990</v>
      </c>
      <c r="F65" s="6"/>
      <c r="G65" s="69"/>
    </row>
    <row r="66" spans="1:7" ht="14.25" customHeight="1" outlineLevel="2">
      <c r="A66" s="5"/>
      <c r="B66" s="65" t="s">
        <v>69</v>
      </c>
      <c r="C66" s="81"/>
      <c r="D66" s="5" t="s">
        <v>103</v>
      </c>
      <c r="E66" s="70">
        <v>14023</v>
      </c>
      <c r="F66" s="6"/>
      <c r="G66" s="69"/>
    </row>
    <row r="67" spans="1:7" ht="14.25" customHeight="1" outlineLevel="2">
      <c r="A67" s="5"/>
      <c r="B67" s="65" t="s">
        <v>121</v>
      </c>
      <c r="C67" s="81"/>
      <c r="D67" s="5" t="s">
        <v>213</v>
      </c>
      <c r="E67" s="70">
        <v>38319</v>
      </c>
      <c r="F67" s="6"/>
      <c r="G67" s="69"/>
    </row>
    <row r="68" spans="1:7" ht="14.25" customHeight="1" outlineLevel="2">
      <c r="A68" s="5"/>
      <c r="B68" s="65" t="s">
        <v>99</v>
      </c>
      <c r="C68" s="81"/>
      <c r="D68" s="5" t="s">
        <v>193</v>
      </c>
      <c r="E68" s="70">
        <v>163089</v>
      </c>
      <c r="F68" s="6"/>
      <c r="G68" s="69"/>
    </row>
    <row r="69" spans="1:7" ht="14.25" customHeight="1" outlineLevel="2">
      <c r="A69" s="5"/>
      <c r="B69" s="65" t="s">
        <v>75</v>
      </c>
      <c r="C69" s="81"/>
      <c r="D69" s="5" t="s">
        <v>182</v>
      </c>
      <c r="E69" s="70">
        <f>51463+231503+5000000+139136+1651775+1325186+5000000</f>
        <v>13399063</v>
      </c>
      <c r="F69" s="6"/>
      <c r="G69" s="69"/>
    </row>
    <row r="70" spans="1:7" ht="14.25" customHeight="1" outlineLevel="2">
      <c r="A70" s="5"/>
      <c r="B70" s="65" t="s">
        <v>75</v>
      </c>
      <c r="C70" s="81"/>
      <c r="D70" s="5" t="s">
        <v>164</v>
      </c>
      <c r="E70" s="70">
        <v>4500000</v>
      </c>
      <c r="F70" s="6"/>
      <c r="G70" s="69"/>
    </row>
    <row r="71" spans="1:7" ht="14.25" customHeight="1" outlineLevel="2">
      <c r="A71" s="5"/>
      <c r="B71" s="65" t="s">
        <v>75</v>
      </c>
      <c r="C71" s="81"/>
      <c r="D71" s="5" t="s">
        <v>165</v>
      </c>
      <c r="E71" s="70">
        <v>759000</v>
      </c>
      <c r="F71" s="6"/>
      <c r="G71" s="69"/>
    </row>
    <row r="72" spans="1:7" ht="14.25" customHeight="1" outlineLevel="2">
      <c r="A72" s="5"/>
      <c r="B72" s="65" t="s">
        <v>75</v>
      </c>
      <c r="C72" s="81"/>
      <c r="D72" s="5" t="s">
        <v>204</v>
      </c>
      <c r="E72" s="70">
        <v>336097</v>
      </c>
      <c r="F72" s="6"/>
      <c r="G72" s="69"/>
    </row>
    <row r="73" spans="1:7" ht="14.25" customHeight="1" outlineLevel="2">
      <c r="A73" s="5"/>
      <c r="B73" s="65" t="s">
        <v>180</v>
      </c>
      <c r="C73" s="81"/>
      <c r="D73" s="5" t="s">
        <v>181</v>
      </c>
      <c r="E73" s="70">
        <v>250660</v>
      </c>
      <c r="F73" s="6"/>
      <c r="G73" s="69"/>
    </row>
    <row r="74" spans="1:7" ht="15" customHeight="1" outlineLevel="2">
      <c r="A74" s="5"/>
      <c r="B74" s="65" t="s">
        <v>63</v>
      </c>
      <c r="C74" s="81"/>
      <c r="D74" s="5" t="s">
        <v>85</v>
      </c>
      <c r="E74" s="70">
        <v>365965</v>
      </c>
      <c r="F74" s="6"/>
      <c r="G74" s="69"/>
    </row>
    <row r="75" spans="1:7" ht="15" customHeight="1" outlineLevel="2">
      <c r="A75" s="5"/>
      <c r="B75" s="65" t="s">
        <v>70</v>
      </c>
      <c r="C75" s="81"/>
      <c r="D75" s="5" t="s">
        <v>88</v>
      </c>
      <c r="E75" s="70">
        <v>36968</v>
      </c>
      <c r="F75" s="6"/>
      <c r="G75" s="69"/>
    </row>
    <row r="76" spans="1:7" ht="15" customHeight="1" outlineLevel="2">
      <c r="A76" s="5"/>
      <c r="B76" s="65" t="s">
        <v>22</v>
      </c>
      <c r="C76" s="81"/>
      <c r="D76" s="5" t="s">
        <v>86</v>
      </c>
      <c r="E76" s="70">
        <f>69945+36774</f>
        <v>106719</v>
      </c>
      <c r="F76" s="6"/>
      <c r="G76" s="69"/>
    </row>
    <row r="77" spans="1:7" ht="15" customHeight="1" outlineLevel="2">
      <c r="A77" s="5"/>
      <c r="B77" s="65" t="s">
        <v>22</v>
      </c>
      <c r="C77" s="81"/>
      <c r="D77" s="5" t="s">
        <v>87</v>
      </c>
      <c r="E77" s="78">
        <v>43430</v>
      </c>
      <c r="F77" s="6"/>
      <c r="G77" s="69">
        <f>SUM(E47:E77)</f>
        <v>24672030</v>
      </c>
    </row>
    <row r="78" spans="1:7" ht="15" customHeight="1" outlineLevel="2">
      <c r="A78" s="5"/>
      <c r="B78" s="65"/>
      <c r="C78" s="81"/>
      <c r="D78" s="5"/>
      <c r="E78" s="78"/>
      <c r="F78" s="6"/>
      <c r="G78" s="69"/>
    </row>
    <row r="79" spans="1:7" ht="15" customHeight="1" outlineLevel="2" thickBot="1">
      <c r="A79" s="5"/>
      <c r="B79" s="114"/>
      <c r="C79" s="81"/>
      <c r="D79" s="114"/>
      <c r="E79" s="115"/>
      <c r="F79" s="116"/>
      <c r="G79" s="116"/>
    </row>
    <row r="80" spans="1:7" ht="15" customHeight="1" outlineLevel="2" thickTop="1">
      <c r="A80" s="5"/>
      <c r="B80" s="86" t="s">
        <v>8</v>
      </c>
      <c r="C80" s="81"/>
      <c r="D80" s="11"/>
      <c r="E80" s="70"/>
      <c r="F80" s="6"/>
      <c r="G80" s="69"/>
    </row>
    <row r="81" spans="1:7" s="113" customFormat="1" ht="16.5" customHeight="1" outlineLevel="2">
      <c r="A81" s="108"/>
      <c r="B81" s="109" t="s">
        <v>158</v>
      </c>
      <c r="C81" s="110"/>
      <c r="D81" s="108" t="s">
        <v>242</v>
      </c>
      <c r="E81" s="70">
        <f>125000+125000</f>
        <v>250000</v>
      </c>
      <c r="F81" s="111"/>
      <c r="G81" s="112"/>
    </row>
    <row r="82" spans="1:7" s="113" customFormat="1" ht="16.5" customHeight="1" outlineLevel="2">
      <c r="A82" s="108"/>
      <c r="B82" s="109" t="s">
        <v>136</v>
      </c>
      <c r="C82" s="110"/>
      <c r="D82" s="108" t="s">
        <v>230</v>
      </c>
      <c r="E82" s="70">
        <v>26770</v>
      </c>
      <c r="F82" s="111"/>
      <c r="G82" s="112"/>
    </row>
    <row r="83" spans="1:7" s="113" customFormat="1" ht="16.5" customHeight="1" outlineLevel="2">
      <c r="A83" s="108"/>
      <c r="B83" s="109" t="s">
        <v>208</v>
      </c>
      <c r="C83" s="110"/>
      <c r="D83" s="108" t="s">
        <v>209</v>
      </c>
      <c r="E83" s="70">
        <v>70000</v>
      </c>
      <c r="F83" s="111"/>
      <c r="G83" s="112"/>
    </row>
    <row r="84" spans="1:7" s="113" customFormat="1" ht="16.5" customHeight="1" outlineLevel="2">
      <c r="A84" s="108"/>
      <c r="B84" s="109" t="s">
        <v>119</v>
      </c>
      <c r="C84" s="110"/>
      <c r="D84" s="108" t="s">
        <v>207</v>
      </c>
      <c r="E84" s="70">
        <v>180500</v>
      </c>
      <c r="F84" s="111"/>
      <c r="G84" s="112"/>
    </row>
    <row r="85" spans="1:7" s="113" customFormat="1" ht="16.5" customHeight="1" outlineLevel="2">
      <c r="A85" s="108"/>
      <c r="B85" s="109" t="s">
        <v>189</v>
      </c>
      <c r="C85" s="110"/>
      <c r="D85" s="108" t="s">
        <v>190</v>
      </c>
      <c r="E85" s="70">
        <v>309400</v>
      </c>
      <c r="F85" s="111"/>
      <c r="G85" s="112"/>
    </row>
    <row r="86" spans="1:7" s="113" customFormat="1" ht="16.5" customHeight="1" outlineLevel="2">
      <c r="A86" s="108"/>
      <c r="B86" s="109" t="s">
        <v>146</v>
      </c>
      <c r="C86" s="110"/>
      <c r="D86" s="108" t="s">
        <v>227</v>
      </c>
      <c r="E86" s="70">
        <f>300000+300000</f>
        <v>600000</v>
      </c>
      <c r="F86" s="111"/>
      <c r="G86" s="112"/>
    </row>
    <row r="87" spans="1:7" s="113" customFormat="1" ht="16.5" customHeight="1" outlineLevel="2">
      <c r="A87" s="108"/>
      <c r="B87" s="109" t="s">
        <v>216</v>
      </c>
      <c r="C87" s="110"/>
      <c r="D87" s="108" t="s">
        <v>217</v>
      </c>
      <c r="E87" s="70">
        <f>62999+437966</f>
        <v>500965</v>
      </c>
      <c r="F87" s="111"/>
      <c r="G87" s="112"/>
    </row>
    <row r="88" spans="1:7" ht="15" customHeight="1" outlineLevel="2">
      <c r="A88" s="5"/>
      <c r="B88" s="65" t="s">
        <v>80</v>
      </c>
      <c r="C88" s="5"/>
      <c r="D88" s="121" t="s">
        <v>183</v>
      </c>
      <c r="E88" s="70">
        <v>3332</v>
      </c>
      <c r="F88" s="111"/>
      <c r="G88" s="112"/>
    </row>
    <row r="89" spans="1:7" ht="15" customHeight="1" outlineLevel="2">
      <c r="A89" s="5"/>
      <c r="B89" s="118" t="s">
        <v>184</v>
      </c>
      <c r="C89" s="5"/>
      <c r="D89" s="121" t="s">
        <v>185</v>
      </c>
      <c r="E89" s="70">
        <v>30000</v>
      </c>
      <c r="F89" s="111"/>
      <c r="G89" s="112"/>
    </row>
    <row r="90" spans="1:7" ht="15" customHeight="1" outlineLevel="2">
      <c r="A90" s="5"/>
      <c r="B90" s="118" t="s">
        <v>197</v>
      </c>
      <c r="C90" s="5"/>
      <c r="D90" s="121" t="s">
        <v>198</v>
      </c>
      <c r="E90" s="70">
        <v>88879</v>
      </c>
      <c r="F90" s="111"/>
      <c r="G90" s="112"/>
    </row>
    <row r="91" spans="1:7" ht="15" customHeight="1" outlineLevel="2">
      <c r="A91" s="5"/>
      <c r="B91" s="106" t="s">
        <v>69</v>
      </c>
      <c r="C91" s="5"/>
      <c r="D91" s="122" t="s">
        <v>102</v>
      </c>
      <c r="E91" s="70">
        <f>5000+5000+10000</f>
        <v>20000</v>
      </c>
      <c r="F91" s="111"/>
      <c r="G91" s="112"/>
    </row>
    <row r="92" spans="1:7" ht="15" customHeight="1" outlineLevel="2">
      <c r="A92" s="5"/>
      <c r="B92" s="106" t="s">
        <v>69</v>
      </c>
      <c r="C92" s="5"/>
      <c r="D92" s="105" t="s">
        <v>114</v>
      </c>
      <c r="E92" s="70">
        <f>60000</f>
        <v>60000</v>
      </c>
      <c r="F92" s="111"/>
      <c r="G92" s="112"/>
    </row>
    <row r="93" spans="1:7" ht="14.25" customHeight="1" outlineLevel="2">
      <c r="A93" s="120"/>
      <c r="B93" s="120" t="s">
        <v>153</v>
      </c>
      <c r="C93" s="5"/>
      <c r="D93" s="5" t="s">
        <v>243</v>
      </c>
      <c r="E93" s="70">
        <f>25000+25000</f>
        <v>50000</v>
      </c>
      <c r="F93" s="111"/>
      <c r="G93" s="112"/>
    </row>
    <row r="94" spans="1:7" ht="14.25" customHeight="1" outlineLevel="2">
      <c r="A94" s="5"/>
      <c r="B94" s="117" t="s">
        <v>83</v>
      </c>
      <c r="C94" s="5"/>
      <c r="D94" s="5" t="s">
        <v>203</v>
      </c>
      <c r="E94" s="70">
        <v>8000</v>
      </c>
      <c r="F94" s="111"/>
      <c r="G94" s="112"/>
    </row>
    <row r="95" spans="1:7" ht="15" customHeight="1" outlineLevel="2">
      <c r="A95" s="5"/>
      <c r="B95" s="65" t="s">
        <v>83</v>
      </c>
      <c r="C95" s="81"/>
      <c r="D95" s="5" t="s">
        <v>227</v>
      </c>
      <c r="E95" s="70">
        <f>120000+120000</f>
        <v>240000</v>
      </c>
      <c r="F95" s="111"/>
      <c r="G95" s="112"/>
    </row>
    <row r="96" spans="1:7" ht="15" customHeight="1" outlineLevel="2">
      <c r="A96" s="5"/>
      <c r="B96" s="65" t="s">
        <v>91</v>
      </c>
      <c r="C96" s="81"/>
      <c r="D96" s="5" t="s">
        <v>92</v>
      </c>
      <c r="E96" s="70">
        <v>19355</v>
      </c>
      <c r="F96" s="111"/>
      <c r="G96" s="112"/>
    </row>
    <row r="97" spans="1:7" ht="15" customHeight="1" outlineLevel="2">
      <c r="A97" s="5"/>
      <c r="B97" s="65" t="s">
        <v>78</v>
      </c>
      <c r="C97" s="81"/>
      <c r="D97" s="5" t="s">
        <v>89</v>
      </c>
      <c r="E97" s="70">
        <v>193114</v>
      </c>
      <c r="F97" s="6"/>
      <c r="G97" s="112"/>
    </row>
    <row r="98" spans="1:7" ht="15" customHeight="1" outlineLevel="2">
      <c r="A98" s="5"/>
      <c r="B98" s="65" t="s">
        <v>55</v>
      </c>
      <c r="C98" s="81"/>
      <c r="D98" s="5" t="s">
        <v>107</v>
      </c>
      <c r="E98" s="78">
        <f>4900+73100</f>
        <v>78000</v>
      </c>
      <c r="F98" s="6"/>
      <c r="G98" s="69">
        <f>SUM(E81:E98)</f>
        <v>2728315</v>
      </c>
    </row>
    <row r="99" spans="1:7" ht="15" customHeight="1" outlineLevel="2">
      <c r="A99" s="5"/>
      <c r="B99" s="65"/>
      <c r="C99" s="81"/>
      <c r="D99" s="5"/>
      <c r="E99" s="78"/>
      <c r="F99" s="6"/>
      <c r="G99" s="112"/>
    </row>
    <row r="100" spans="1:7" ht="15" customHeight="1" outlineLevel="2">
      <c r="A100" s="5"/>
      <c r="B100" s="86" t="s">
        <v>17</v>
      </c>
      <c r="C100" s="81"/>
      <c r="D100" s="5"/>
      <c r="E100" s="70"/>
      <c r="F100" s="6"/>
      <c r="G100" s="69"/>
    </row>
    <row r="101" spans="1:7" ht="15" customHeight="1" outlineLevel="2">
      <c r="A101" s="5"/>
      <c r="B101" s="65" t="s">
        <v>21</v>
      </c>
      <c r="C101" s="81"/>
      <c r="D101" s="5" t="s">
        <v>195</v>
      </c>
      <c r="E101" s="78">
        <v>859390</v>
      </c>
      <c r="F101" s="6"/>
      <c r="G101" s="69">
        <f>SUM(E101:F101)</f>
        <v>859390</v>
      </c>
    </row>
    <row r="102" spans="1:7" ht="15" customHeight="1" outlineLevel="2">
      <c r="A102" s="5"/>
      <c r="B102" s="65"/>
      <c r="C102" s="81"/>
      <c r="D102" s="5"/>
      <c r="E102" s="78"/>
      <c r="F102" s="6"/>
      <c r="G102" s="69"/>
    </row>
    <row r="103" spans="1:7" ht="15" customHeight="1" outlineLevel="2">
      <c r="A103" s="5"/>
      <c r="B103" s="86" t="s">
        <v>166</v>
      </c>
      <c r="C103" s="81"/>
      <c r="D103" s="5"/>
      <c r="E103" s="78"/>
      <c r="F103" s="6"/>
      <c r="G103" s="69"/>
    </row>
    <row r="104" spans="1:7" ht="15.75" customHeight="1" outlineLevel="2">
      <c r="A104" s="5"/>
      <c r="B104" s="65" t="s">
        <v>159</v>
      </c>
      <c r="C104" s="81"/>
      <c r="D104" s="5" t="s">
        <v>167</v>
      </c>
      <c r="E104" s="70">
        <v>450000</v>
      </c>
      <c r="F104" s="6"/>
      <c r="G104" s="69"/>
    </row>
    <row r="105" spans="1:7" ht="15" customHeight="1" outlineLevel="2">
      <c r="A105" s="5"/>
      <c r="B105" s="65" t="s">
        <v>60</v>
      </c>
      <c r="C105" s="81"/>
      <c r="D105" s="5" t="s">
        <v>215</v>
      </c>
      <c r="E105" s="70">
        <v>500000</v>
      </c>
      <c r="F105" s="6"/>
      <c r="G105" s="69"/>
    </row>
    <row r="106" spans="1:7" ht="15" customHeight="1" outlineLevel="2">
      <c r="A106" s="5"/>
      <c r="B106" s="65" t="s">
        <v>69</v>
      </c>
      <c r="C106" s="81"/>
      <c r="D106" s="5" t="s">
        <v>215</v>
      </c>
      <c r="E106" s="78">
        <v>500000</v>
      </c>
      <c r="F106" s="6"/>
      <c r="G106" s="69">
        <f>SUM(E104:E106)</f>
        <v>1450000</v>
      </c>
    </row>
    <row r="107" spans="1:7" ht="14.25" customHeight="1" outlineLevel="2">
      <c r="A107" s="5"/>
      <c r="B107" s="65"/>
      <c r="C107" s="81"/>
      <c r="D107" s="5"/>
      <c r="E107" s="78"/>
      <c r="F107" s="6"/>
      <c r="G107" s="69"/>
    </row>
    <row r="108" spans="1:7" ht="15" customHeight="1" outlineLevel="2">
      <c r="A108" s="5"/>
      <c r="B108" s="86" t="s">
        <v>54</v>
      </c>
      <c r="C108" s="81"/>
      <c r="D108" s="78"/>
      <c r="E108" s="78"/>
      <c r="F108" s="69"/>
      <c r="G108" s="69"/>
    </row>
    <row r="109" spans="1:7" ht="15" customHeight="1" outlineLevel="2">
      <c r="A109" s="5"/>
      <c r="B109" s="65" t="s">
        <v>62</v>
      </c>
      <c r="C109" s="81"/>
      <c r="D109" s="5" t="s">
        <v>170</v>
      </c>
      <c r="E109" s="70">
        <f>1000000</f>
        <v>1000000</v>
      </c>
      <c r="F109" s="6"/>
      <c r="G109" s="69"/>
    </row>
    <row r="110" spans="1:7" ht="15" customHeight="1" outlineLevel="2">
      <c r="A110" s="5"/>
      <c r="B110" s="65" t="s">
        <v>133</v>
      </c>
      <c r="C110" s="81"/>
      <c r="D110" s="5" t="s">
        <v>234</v>
      </c>
      <c r="E110" s="70">
        <f>695621+695631</f>
        <v>1391252</v>
      </c>
      <c r="F110" s="6"/>
      <c r="G110" s="69"/>
    </row>
    <row r="111" spans="1:7" ht="15" customHeight="1" outlineLevel="2" thickBot="1">
      <c r="A111" s="5"/>
      <c r="B111" s="114" t="s">
        <v>152</v>
      </c>
      <c r="C111" s="81"/>
      <c r="D111" s="114" t="s">
        <v>228</v>
      </c>
      <c r="E111" s="119">
        <f>250000+250000</f>
        <v>500000</v>
      </c>
      <c r="F111" s="116"/>
      <c r="G111" s="116"/>
    </row>
    <row r="112" spans="1:7" ht="15" customHeight="1" outlineLevel="2" thickTop="1">
      <c r="A112" s="5"/>
      <c r="B112" s="65" t="s">
        <v>101</v>
      </c>
      <c r="C112" s="81"/>
      <c r="D112" s="5" t="s">
        <v>116</v>
      </c>
      <c r="E112" s="78">
        <f>1139601</f>
        <v>1139601</v>
      </c>
      <c r="F112" s="6"/>
      <c r="G112" s="69">
        <f>SUM(E109:E112)</f>
        <v>4030853</v>
      </c>
    </row>
    <row r="113" spans="1:7" ht="14.25" customHeight="1" outlineLevel="2">
      <c r="A113" s="5"/>
      <c r="B113" s="65"/>
      <c r="C113" s="81"/>
      <c r="D113" s="5"/>
      <c r="E113" s="78"/>
      <c r="F113" s="6"/>
      <c r="G113" s="69"/>
    </row>
    <row r="114" spans="1:7" ht="15" customHeight="1" outlineLevel="2">
      <c r="A114" s="5"/>
      <c r="B114" s="86" t="s">
        <v>18</v>
      </c>
      <c r="C114" s="81"/>
      <c r="D114" s="5"/>
      <c r="E114" s="70"/>
      <c r="F114" s="6"/>
      <c r="G114" s="69"/>
    </row>
    <row r="115" spans="1:7" ht="15" customHeight="1" outlineLevel="2">
      <c r="A115" s="5"/>
      <c r="B115" s="65" t="s">
        <v>131</v>
      </c>
      <c r="C115" s="81"/>
      <c r="D115" s="5" t="s">
        <v>147</v>
      </c>
      <c r="E115" s="70">
        <v>40000</v>
      </c>
      <c r="F115" s="6"/>
      <c r="G115" s="69"/>
    </row>
    <row r="116" spans="1:7" ht="15" customHeight="1" outlineLevel="2">
      <c r="A116" s="5"/>
      <c r="B116" s="65" t="s">
        <v>131</v>
      </c>
      <c r="C116" s="81"/>
      <c r="D116" s="5" t="s">
        <v>148</v>
      </c>
      <c r="E116" s="70">
        <f>53000+104300+53000</f>
        <v>210300</v>
      </c>
      <c r="F116" s="6"/>
      <c r="G116" s="69"/>
    </row>
    <row r="117" spans="1:7" ht="15" customHeight="1" outlineLevel="2">
      <c r="A117" s="5"/>
      <c r="B117" s="65" t="s">
        <v>131</v>
      </c>
      <c r="C117" s="81"/>
      <c r="D117" s="5" t="s">
        <v>149</v>
      </c>
      <c r="E117" s="70">
        <v>40000</v>
      </c>
      <c r="F117" s="6"/>
      <c r="G117" s="69"/>
    </row>
    <row r="118" spans="1:7" ht="15" customHeight="1" outlineLevel="2">
      <c r="A118" s="5"/>
      <c r="B118" s="65" t="s">
        <v>131</v>
      </c>
      <c r="C118" s="81"/>
      <c r="D118" s="5" t="s">
        <v>151</v>
      </c>
      <c r="E118" s="70">
        <v>51000</v>
      </c>
      <c r="F118" s="6"/>
      <c r="G118" s="69"/>
    </row>
    <row r="119" spans="1:7" ht="15" customHeight="1" outlineLevel="2">
      <c r="A119" s="5"/>
      <c r="B119" s="65" t="s">
        <v>150</v>
      </c>
      <c r="C119" s="81"/>
      <c r="D119" s="5" t="s">
        <v>161</v>
      </c>
      <c r="E119" s="70">
        <v>121000</v>
      </c>
      <c r="F119" s="6"/>
      <c r="G119" s="69"/>
    </row>
    <row r="120" spans="1:7" ht="15" customHeight="1" outlineLevel="2">
      <c r="A120" s="5"/>
      <c r="B120" s="65" t="s">
        <v>159</v>
      </c>
      <c r="C120" s="81"/>
      <c r="D120" s="5" t="s">
        <v>160</v>
      </c>
      <c r="E120" s="70">
        <v>11000</v>
      </c>
      <c r="F120" s="6"/>
      <c r="G120" s="69"/>
    </row>
    <row r="121" spans="1:7" ht="15" customHeight="1" outlineLevel="2">
      <c r="A121" s="5"/>
      <c r="B121" s="65" t="s">
        <v>159</v>
      </c>
      <c r="C121" s="81"/>
      <c r="D121" s="5" t="s">
        <v>171</v>
      </c>
      <c r="E121" s="70">
        <v>76300</v>
      </c>
      <c r="F121" s="6"/>
      <c r="G121" s="69"/>
    </row>
    <row r="122" spans="1:7" ht="15" customHeight="1" outlineLevel="2">
      <c r="A122" s="5"/>
      <c r="B122" s="65" t="s">
        <v>159</v>
      </c>
      <c r="C122" s="81"/>
      <c r="D122" s="5" t="s">
        <v>194</v>
      </c>
      <c r="E122" s="70">
        <v>266814</v>
      </c>
      <c r="F122" s="6"/>
      <c r="G122" s="69"/>
    </row>
    <row r="123" spans="1:7" ht="15" customHeight="1" outlineLevel="2">
      <c r="A123" s="5"/>
      <c r="B123" s="65" t="s">
        <v>118</v>
      </c>
      <c r="C123" s="81"/>
      <c r="D123" s="5" t="s">
        <v>194</v>
      </c>
      <c r="E123" s="70">
        <v>266814</v>
      </c>
      <c r="F123" s="6"/>
      <c r="G123" s="69"/>
    </row>
    <row r="124" spans="1:7" ht="15" customHeight="1" outlineLevel="2">
      <c r="A124" s="5"/>
      <c r="B124" s="65" t="s">
        <v>199</v>
      </c>
      <c r="C124" s="81"/>
      <c r="D124" s="5" t="s">
        <v>194</v>
      </c>
      <c r="E124" s="70">
        <v>266814</v>
      </c>
      <c r="F124" s="6"/>
      <c r="G124" s="69"/>
    </row>
    <row r="125" spans="1:7" ht="15" customHeight="1" outlineLevel="2">
      <c r="A125" s="5"/>
      <c r="B125" s="65" t="s">
        <v>104</v>
      </c>
      <c r="C125" s="81"/>
      <c r="D125" s="5" t="s">
        <v>202</v>
      </c>
      <c r="E125" s="70">
        <v>72000</v>
      </c>
      <c r="F125" s="6"/>
      <c r="G125" s="69"/>
    </row>
    <row r="126" spans="1:7" ht="15" customHeight="1" outlineLevel="2">
      <c r="A126" s="5"/>
      <c r="B126" s="65" t="s">
        <v>100</v>
      </c>
      <c r="C126" s="81"/>
      <c r="D126" s="5" t="s">
        <v>212</v>
      </c>
      <c r="E126" s="70">
        <v>108000</v>
      </c>
      <c r="F126" s="6"/>
      <c r="G126" s="69"/>
    </row>
    <row r="127" spans="1:7" ht="15" customHeight="1" outlineLevel="2">
      <c r="A127" s="5"/>
      <c r="B127" s="65" t="s">
        <v>118</v>
      </c>
      <c r="C127" s="81"/>
      <c r="D127" s="5" t="s">
        <v>186</v>
      </c>
      <c r="E127" s="70">
        <v>55000</v>
      </c>
      <c r="F127" s="6"/>
      <c r="G127" s="69"/>
    </row>
    <row r="128" spans="1:7" ht="15" customHeight="1" outlineLevel="2">
      <c r="A128" s="5"/>
      <c r="B128" s="65" t="s">
        <v>96</v>
      </c>
      <c r="C128" s="81"/>
      <c r="D128" s="5" t="s">
        <v>201</v>
      </c>
      <c r="E128" s="70">
        <v>141461</v>
      </c>
      <c r="F128" s="6"/>
      <c r="G128" s="69"/>
    </row>
    <row r="129" spans="1:7" ht="15" customHeight="1" outlineLevel="2">
      <c r="A129" s="5"/>
      <c r="B129" s="65" t="s">
        <v>96</v>
      </c>
      <c r="C129" s="81"/>
      <c r="D129" s="5" t="s">
        <v>200</v>
      </c>
      <c r="E129" s="70">
        <v>159096</v>
      </c>
      <c r="F129" s="6"/>
      <c r="G129" s="69"/>
    </row>
    <row r="130" spans="1:7" ht="15" customHeight="1" outlineLevel="2">
      <c r="A130" s="5"/>
      <c r="B130" s="65" t="s">
        <v>96</v>
      </c>
      <c r="C130" s="81"/>
      <c r="D130" s="5" t="s">
        <v>163</v>
      </c>
      <c r="E130" s="70">
        <v>561074</v>
      </c>
      <c r="F130" s="6"/>
      <c r="G130" s="69"/>
    </row>
    <row r="131" spans="1:7" ht="15" customHeight="1" outlineLevel="2">
      <c r="A131" s="5"/>
      <c r="B131" s="65" t="s">
        <v>96</v>
      </c>
      <c r="C131" s="81"/>
      <c r="D131" s="5" t="s">
        <v>168</v>
      </c>
      <c r="E131" s="70">
        <f>689774+26226</f>
        <v>716000</v>
      </c>
      <c r="F131" s="6"/>
      <c r="G131" s="69"/>
    </row>
    <row r="132" spans="1:7" ht="15" customHeight="1" outlineLevel="2">
      <c r="A132" s="5"/>
      <c r="B132" s="65" t="s">
        <v>96</v>
      </c>
      <c r="C132" s="81"/>
      <c r="D132" s="5" t="s">
        <v>192</v>
      </c>
      <c r="E132" s="70">
        <v>434505</v>
      </c>
      <c r="F132" s="6"/>
      <c r="G132" s="69"/>
    </row>
    <row r="133" spans="1:7" ht="15" customHeight="1" outlineLevel="2">
      <c r="A133" s="5"/>
      <c r="B133" s="65" t="s">
        <v>96</v>
      </c>
      <c r="C133" s="81"/>
      <c r="D133" s="5" t="s">
        <v>115</v>
      </c>
      <c r="E133" s="70">
        <v>125316</v>
      </c>
      <c r="F133" s="6"/>
      <c r="G133" s="69"/>
    </row>
    <row r="134" spans="1:7" ht="15" customHeight="1" outlineLevel="2">
      <c r="A134" s="5"/>
      <c r="B134" s="65" t="s">
        <v>96</v>
      </c>
      <c r="C134" s="81"/>
      <c r="D134" s="5" t="s">
        <v>172</v>
      </c>
      <c r="E134" s="70">
        <f>125316</f>
        <v>125316</v>
      </c>
      <c r="F134" s="6"/>
      <c r="G134" s="69"/>
    </row>
    <row r="135" spans="1:7" ht="15" customHeight="1" outlineLevel="2">
      <c r="A135" s="5"/>
      <c r="B135" s="65" t="s">
        <v>96</v>
      </c>
      <c r="C135" s="81"/>
      <c r="D135" s="5" t="s">
        <v>117</v>
      </c>
      <c r="E135" s="70">
        <v>158656</v>
      </c>
      <c r="F135" s="6"/>
      <c r="G135" s="69"/>
    </row>
    <row r="136" spans="1:7" ht="15" customHeight="1" outlineLevel="2">
      <c r="A136" s="5"/>
      <c r="B136" s="65" t="s">
        <v>96</v>
      </c>
      <c r="C136" s="81"/>
      <c r="D136" s="5" t="s">
        <v>205</v>
      </c>
      <c r="E136" s="70">
        <v>291537</v>
      </c>
      <c r="F136" s="6"/>
      <c r="G136" s="69"/>
    </row>
    <row r="137" spans="1:7" ht="15" customHeight="1" outlineLevel="2">
      <c r="A137" s="5"/>
      <c r="B137" s="66" t="s">
        <v>19</v>
      </c>
      <c r="C137" s="81"/>
      <c r="D137" s="5"/>
      <c r="E137" s="70"/>
      <c r="F137" s="6"/>
      <c r="G137" s="69"/>
    </row>
    <row r="138" spans="1:7" s="113" customFormat="1" ht="16.5" customHeight="1" outlineLevel="2">
      <c r="A138" s="108"/>
      <c r="B138" s="109" t="s">
        <v>219</v>
      </c>
      <c r="C138" s="110"/>
      <c r="D138" s="108" t="s">
        <v>220</v>
      </c>
      <c r="E138" s="70">
        <v>90000</v>
      </c>
      <c r="F138" s="111"/>
      <c r="G138" s="112"/>
    </row>
    <row r="139" spans="1:7" s="113" customFormat="1" ht="16.5" customHeight="1" outlineLevel="2">
      <c r="A139" s="108"/>
      <c r="B139" s="109" t="s">
        <v>221</v>
      </c>
      <c r="C139" s="110"/>
      <c r="D139" s="108" t="s">
        <v>220</v>
      </c>
      <c r="E139" s="70">
        <v>272000</v>
      </c>
      <c r="F139" s="111"/>
      <c r="G139" s="112"/>
    </row>
    <row r="140" spans="1:7" s="113" customFormat="1" ht="16.5" customHeight="1" outlineLevel="2">
      <c r="A140" s="108"/>
      <c r="B140" s="109" t="s">
        <v>222</v>
      </c>
      <c r="C140" s="110"/>
      <c r="D140" s="108" t="s">
        <v>220</v>
      </c>
      <c r="E140" s="70">
        <v>141974</v>
      </c>
      <c r="F140" s="111"/>
      <c r="G140" s="112"/>
    </row>
    <row r="141" spans="1:7" s="113" customFormat="1" ht="16.5" customHeight="1" outlineLevel="2">
      <c r="A141" s="108"/>
      <c r="B141" s="109" t="s">
        <v>223</v>
      </c>
      <c r="C141" s="110"/>
      <c r="D141" s="108" t="s">
        <v>220</v>
      </c>
      <c r="E141" s="70">
        <v>160000</v>
      </c>
      <c r="F141" s="111"/>
      <c r="G141" s="112"/>
    </row>
    <row r="142" spans="1:7" s="113" customFormat="1" ht="16.5" customHeight="1" outlineLevel="2">
      <c r="A142" s="108"/>
      <c r="B142" s="109" t="s">
        <v>69</v>
      </c>
      <c r="C142" s="110"/>
      <c r="D142" s="108" t="s">
        <v>214</v>
      </c>
      <c r="E142" s="70">
        <v>373072</v>
      </c>
      <c r="F142" s="111"/>
      <c r="G142" s="112"/>
    </row>
    <row r="143" spans="1:7" s="113" customFormat="1" ht="16.5" customHeight="1" outlineLevel="2" thickBot="1">
      <c r="A143" s="108"/>
      <c r="B143" s="123" t="s">
        <v>69</v>
      </c>
      <c r="C143" s="110"/>
      <c r="D143" s="123" t="s">
        <v>206</v>
      </c>
      <c r="E143" s="119">
        <v>219509</v>
      </c>
      <c r="F143" s="124"/>
      <c r="G143" s="124"/>
    </row>
    <row r="144" spans="1:7" ht="15" customHeight="1" outlineLevel="2" thickTop="1">
      <c r="A144" s="5"/>
      <c r="B144" s="65" t="s">
        <v>232</v>
      </c>
      <c r="C144" s="81"/>
      <c r="D144" s="5" t="s">
        <v>241</v>
      </c>
      <c r="E144" s="70">
        <v>73450</v>
      </c>
      <c r="F144" s="6"/>
      <c r="G144" s="69"/>
    </row>
    <row r="145" spans="1:7" ht="15" customHeight="1" outlineLevel="2">
      <c r="A145" s="5"/>
      <c r="B145" s="65" t="s">
        <v>239</v>
      </c>
      <c r="C145" s="81"/>
      <c r="D145" s="5" t="s">
        <v>240</v>
      </c>
      <c r="E145" s="70">
        <v>214057</v>
      </c>
      <c r="F145" s="6"/>
      <c r="G145" s="69"/>
    </row>
    <row r="146" spans="1:7" ht="15" customHeight="1" outlineLevel="2">
      <c r="A146" s="5"/>
      <c r="B146" s="65" t="s">
        <v>210</v>
      </c>
      <c r="C146" s="81"/>
      <c r="D146" s="5" t="s">
        <v>211</v>
      </c>
      <c r="E146" s="70">
        <v>275460</v>
      </c>
      <c r="F146" s="6"/>
      <c r="G146" s="69"/>
    </row>
    <row r="147" spans="1:7" ht="15" customHeight="1" outlineLevel="2">
      <c r="A147" s="5"/>
      <c r="B147" s="65" t="s">
        <v>69</v>
      </c>
      <c r="C147" s="81"/>
      <c r="D147" s="5" t="s">
        <v>233</v>
      </c>
      <c r="E147" s="70">
        <f>15693+15693</f>
        <v>31386</v>
      </c>
      <c r="F147" s="6"/>
      <c r="G147" s="69"/>
    </row>
    <row r="148" spans="1:7" ht="15" customHeight="1" outlineLevel="2">
      <c r="A148" s="5"/>
      <c r="B148" s="65" t="s">
        <v>76</v>
      </c>
      <c r="C148" s="81"/>
      <c r="D148" s="5" t="s">
        <v>196</v>
      </c>
      <c r="E148" s="78">
        <v>917135</v>
      </c>
      <c r="F148" s="6"/>
      <c r="G148" s="69">
        <f>SUM(E115:E148)</f>
        <v>7066046</v>
      </c>
    </row>
    <row r="149" spans="1:7" ht="15" customHeight="1" outlineLevel="2" thickBot="1">
      <c r="A149" s="5"/>
      <c r="B149" s="65"/>
      <c r="C149" s="107"/>
      <c r="D149" s="65"/>
      <c r="E149" s="78"/>
      <c r="F149" s="69"/>
      <c r="G149" s="69"/>
    </row>
    <row r="150" spans="1:7" ht="15.75" customHeight="1" outlineLevel="2">
      <c r="A150" s="5"/>
      <c r="B150" s="86" t="s">
        <v>6</v>
      </c>
      <c r="C150" s="81"/>
      <c r="D150" s="5"/>
      <c r="E150" s="78"/>
      <c r="F150" s="6"/>
      <c r="G150" s="69"/>
    </row>
    <row r="151" spans="2:7" s="5" customFormat="1" ht="15" customHeight="1" outlineLevel="2">
      <c r="B151" s="65" t="s">
        <v>108</v>
      </c>
      <c r="C151" s="81"/>
      <c r="D151" s="5" t="s">
        <v>109</v>
      </c>
      <c r="E151" s="70">
        <v>134000</v>
      </c>
      <c r="F151" s="8"/>
      <c r="G151" s="70"/>
    </row>
    <row r="152" spans="2:7" s="5" customFormat="1" ht="15" customHeight="1" outlineLevel="2">
      <c r="B152" s="65" t="s">
        <v>49</v>
      </c>
      <c r="C152" s="81"/>
      <c r="D152" s="5" t="s">
        <v>179</v>
      </c>
      <c r="E152" s="70">
        <v>59140</v>
      </c>
      <c r="F152" s="8"/>
      <c r="G152" s="70"/>
    </row>
    <row r="153" spans="2:7" s="5" customFormat="1" ht="15" customHeight="1" outlineLevel="2">
      <c r="B153" s="65" t="s">
        <v>49</v>
      </c>
      <c r="C153" s="81"/>
      <c r="D153" s="5" t="s">
        <v>187</v>
      </c>
      <c r="E153" s="70">
        <v>114670</v>
      </c>
      <c r="F153" s="8"/>
      <c r="G153" s="70"/>
    </row>
    <row r="154" spans="2:7" s="5" customFormat="1" ht="15" customHeight="1" outlineLevel="2">
      <c r="B154" s="65" t="s">
        <v>157</v>
      </c>
      <c r="C154" s="81"/>
      <c r="D154" s="5" t="s">
        <v>188</v>
      </c>
      <c r="E154" s="70">
        <f>554773+55477</f>
        <v>610250</v>
      </c>
      <c r="F154" s="8"/>
      <c r="G154" s="70"/>
    </row>
    <row r="155" spans="2:7" s="5" customFormat="1" ht="15" customHeight="1" outlineLevel="2">
      <c r="B155" s="65" t="s">
        <v>76</v>
      </c>
      <c r="C155" s="81"/>
      <c r="D155" s="5" t="s">
        <v>162</v>
      </c>
      <c r="E155" s="70">
        <v>53581</v>
      </c>
      <c r="F155" s="8"/>
      <c r="G155" s="70"/>
    </row>
    <row r="156" spans="2:7" s="5" customFormat="1" ht="15" customHeight="1" outlineLevel="2">
      <c r="B156" s="65" t="s">
        <v>169</v>
      </c>
      <c r="C156" s="81"/>
      <c r="D156" s="5" t="s">
        <v>178</v>
      </c>
      <c r="E156" s="70">
        <f>432861+372347</f>
        <v>805208</v>
      </c>
      <c r="F156" s="8"/>
      <c r="G156" s="70"/>
    </row>
    <row r="157" spans="2:7" s="5" customFormat="1" ht="15" customHeight="1" outlineLevel="2">
      <c r="B157" s="65" t="s">
        <v>176</v>
      </c>
      <c r="C157" s="81"/>
      <c r="D157" s="5" t="s">
        <v>177</v>
      </c>
      <c r="E157" s="70">
        <f>303691</f>
        <v>303691</v>
      </c>
      <c r="F157" s="8"/>
      <c r="G157" s="70"/>
    </row>
    <row r="158" spans="2:7" s="5" customFormat="1" ht="15" customHeight="1" outlineLevel="2">
      <c r="B158" s="65" t="s">
        <v>111</v>
      </c>
      <c r="C158" s="81"/>
      <c r="D158" s="5" t="s">
        <v>112</v>
      </c>
      <c r="E158" s="70">
        <v>23800</v>
      </c>
      <c r="F158" s="8"/>
      <c r="G158" s="70"/>
    </row>
    <row r="159" spans="1:7" ht="15" customHeight="1" outlineLevel="2">
      <c r="A159" s="5"/>
      <c r="B159" s="65" t="s">
        <v>74</v>
      </c>
      <c r="C159" s="81"/>
      <c r="D159" s="5" t="s">
        <v>84</v>
      </c>
      <c r="E159" s="78">
        <v>199640</v>
      </c>
      <c r="F159" s="6"/>
      <c r="G159" s="69">
        <f>SUM(E151:E159)</f>
        <v>2303980</v>
      </c>
    </row>
    <row r="160" spans="1:7" ht="15" customHeight="1" outlineLevel="2" thickBot="1">
      <c r="A160" s="5"/>
      <c r="B160" s="65"/>
      <c r="C160" s="107"/>
      <c r="D160" s="65"/>
      <c r="E160" s="78"/>
      <c r="F160" s="69"/>
      <c r="G160" s="69"/>
    </row>
    <row r="161" spans="1:7" ht="15" customHeight="1" outlineLevel="2">
      <c r="A161" s="5"/>
      <c r="B161" s="86" t="s">
        <v>93</v>
      </c>
      <c r="C161" s="81"/>
      <c r="D161" s="5"/>
      <c r="E161" s="78"/>
      <c r="F161" s="6"/>
      <c r="G161" s="69"/>
    </row>
    <row r="162" spans="2:7" s="5" customFormat="1" ht="15" customHeight="1" outlineLevel="2">
      <c r="B162" s="65" t="s">
        <v>63</v>
      </c>
      <c r="C162" s="81"/>
      <c r="D162" s="5" t="s">
        <v>191</v>
      </c>
      <c r="E162" s="70">
        <v>351864</v>
      </c>
      <c r="F162" s="8"/>
      <c r="G162" s="70"/>
    </row>
    <row r="163" spans="2:7" s="5" customFormat="1" ht="15" customHeight="1" outlineLevel="2">
      <c r="B163" s="65" t="s">
        <v>70</v>
      </c>
      <c r="C163" s="81"/>
      <c r="D163" s="5" t="s">
        <v>88</v>
      </c>
      <c r="E163" s="70">
        <v>2300</v>
      </c>
      <c r="F163" s="8"/>
      <c r="G163" s="70"/>
    </row>
    <row r="164" spans="1:7" ht="15" customHeight="1" outlineLevel="2">
      <c r="A164" s="5"/>
      <c r="B164" s="65" t="s">
        <v>97</v>
      </c>
      <c r="C164" s="81"/>
      <c r="D164" s="5" t="s">
        <v>98</v>
      </c>
      <c r="E164" s="78">
        <v>170706</v>
      </c>
      <c r="F164" s="6"/>
      <c r="G164" s="69">
        <f>SUM(E162:E164)</f>
        <v>524870</v>
      </c>
    </row>
    <row r="165" spans="1:7" ht="15" customHeight="1" outlineLevel="2" thickBot="1">
      <c r="A165" s="5"/>
      <c r="B165" s="65"/>
      <c r="C165" s="107"/>
      <c r="D165" s="65"/>
      <c r="E165" s="78"/>
      <c r="F165" s="69"/>
      <c r="G165" s="69"/>
    </row>
    <row r="166" spans="1:7" ht="15" customHeight="1" outlineLevel="2">
      <c r="A166" s="5"/>
      <c r="B166" s="86" t="s">
        <v>135</v>
      </c>
      <c r="C166" s="81"/>
      <c r="D166" s="5"/>
      <c r="E166" s="78"/>
      <c r="F166" s="6"/>
      <c r="G166" s="69"/>
    </row>
    <row r="167" spans="1:7" ht="15" customHeight="1" outlineLevel="2">
      <c r="A167" s="5"/>
      <c r="B167" s="65" t="s">
        <v>136</v>
      </c>
      <c r="C167" s="81"/>
      <c r="D167" s="5" t="s">
        <v>155</v>
      </c>
      <c r="E167" s="70">
        <f>601559+601559</f>
        <v>1203118</v>
      </c>
      <c r="F167" s="6"/>
      <c r="G167" s="69"/>
    </row>
    <row r="168" spans="1:7" ht="15" customHeight="1" outlineLevel="2">
      <c r="A168" s="5"/>
      <c r="B168" s="65" t="s">
        <v>138</v>
      </c>
      <c r="C168" s="81"/>
      <c r="D168" s="5" t="s">
        <v>155</v>
      </c>
      <c r="E168" s="70">
        <f>860614+860331</f>
        <v>1720945</v>
      </c>
      <c r="F168" s="6"/>
      <c r="G168" s="69"/>
    </row>
    <row r="169" spans="1:7" ht="15" customHeight="1" outlineLevel="2">
      <c r="A169" s="5"/>
      <c r="B169" s="65" t="s">
        <v>57</v>
      </c>
      <c r="C169" s="81"/>
      <c r="D169" s="5" t="s">
        <v>155</v>
      </c>
      <c r="E169" s="70">
        <f>827791+820688</f>
        <v>1648479</v>
      </c>
      <c r="F169" s="6"/>
      <c r="G169" s="69"/>
    </row>
    <row r="170" spans="1:7" ht="15" customHeight="1" outlineLevel="2">
      <c r="A170" s="5"/>
      <c r="B170" s="65" t="s">
        <v>139</v>
      </c>
      <c r="C170" s="81"/>
      <c r="D170" s="5" t="s">
        <v>155</v>
      </c>
      <c r="E170" s="70">
        <f>549138+551103</f>
        <v>1100241</v>
      </c>
      <c r="F170" s="6"/>
      <c r="G170" s="69"/>
    </row>
    <row r="171" spans="1:7" ht="15" customHeight="1" outlineLevel="2">
      <c r="A171" s="5"/>
      <c r="B171" s="65" t="s">
        <v>143</v>
      </c>
      <c r="C171" s="81"/>
      <c r="D171" s="5" t="s">
        <v>155</v>
      </c>
      <c r="E171" s="70">
        <f>333450+351000</f>
        <v>684450</v>
      </c>
      <c r="F171" s="6"/>
      <c r="G171" s="69"/>
    </row>
    <row r="172" spans="1:7" ht="15" customHeight="1" outlineLevel="2">
      <c r="A172" s="5"/>
      <c r="B172" s="65" t="s">
        <v>60</v>
      </c>
      <c r="C172" s="81"/>
      <c r="D172" s="5" t="s">
        <v>155</v>
      </c>
      <c r="E172" s="70">
        <f>874676+875274</f>
        <v>1749950</v>
      </c>
      <c r="F172" s="6"/>
      <c r="G172" s="69"/>
    </row>
    <row r="173" spans="1:7" ht="15" customHeight="1" outlineLevel="2">
      <c r="A173" s="5"/>
      <c r="B173" s="65" t="s">
        <v>49</v>
      </c>
      <c r="C173" s="81"/>
      <c r="D173" s="5" t="s">
        <v>155</v>
      </c>
      <c r="E173" s="70">
        <f>749228+750750</f>
        <v>1499978</v>
      </c>
      <c r="F173" s="6"/>
      <c r="G173" s="69"/>
    </row>
    <row r="174" spans="1:7" ht="15" customHeight="1" outlineLevel="2">
      <c r="A174" s="5"/>
      <c r="B174" s="65" t="s">
        <v>69</v>
      </c>
      <c r="C174" s="81"/>
      <c r="D174" s="5" t="s">
        <v>155</v>
      </c>
      <c r="E174" s="70">
        <f>1085755+1084915</f>
        <v>2170670</v>
      </c>
      <c r="F174" s="6"/>
      <c r="G174" s="69"/>
    </row>
    <row r="175" spans="1:7" ht="15" customHeight="1" outlineLevel="2">
      <c r="A175" s="5"/>
      <c r="B175" s="65" t="s">
        <v>156</v>
      </c>
      <c r="C175" s="81"/>
      <c r="D175" s="5" t="s">
        <v>155</v>
      </c>
      <c r="E175" s="78">
        <f>427219+427219</f>
        <v>854438</v>
      </c>
      <c r="F175" s="6"/>
      <c r="G175" s="69">
        <f>SUM(E167:E175)</f>
        <v>12632269</v>
      </c>
    </row>
    <row r="176" spans="1:7" ht="15" customHeight="1" outlineLevel="2" thickBot="1">
      <c r="A176" s="5"/>
      <c r="B176" s="114"/>
      <c r="C176" s="81"/>
      <c r="D176" s="125"/>
      <c r="E176" s="115"/>
      <c r="F176" s="126"/>
      <c r="G176" s="116"/>
    </row>
    <row r="177" spans="1:7" ht="15" customHeight="1" outlineLevel="2" thickTop="1">
      <c r="A177" s="5"/>
      <c r="B177" s="86" t="s">
        <v>11</v>
      </c>
      <c r="C177" s="81"/>
      <c r="D177" s="5"/>
      <c r="E177" s="70"/>
      <c r="F177" s="6"/>
      <c r="G177" s="69"/>
    </row>
    <row r="178" spans="1:7" ht="15" customHeight="1" outlineLevel="2">
      <c r="A178" s="5"/>
      <c r="B178" s="65" t="s">
        <v>12</v>
      </c>
      <c r="C178" s="81"/>
      <c r="D178" s="62" t="s">
        <v>137</v>
      </c>
      <c r="E178" s="70">
        <v>261967</v>
      </c>
      <c r="F178" s="6"/>
      <c r="G178" s="69"/>
    </row>
    <row r="179" spans="1:7" ht="15" customHeight="1" outlineLevel="2">
      <c r="A179" s="5"/>
      <c r="B179" s="65" t="s">
        <v>59</v>
      </c>
      <c r="C179" s="82"/>
      <c r="D179" s="62" t="s">
        <v>137</v>
      </c>
      <c r="E179" s="70">
        <v>73117</v>
      </c>
      <c r="F179" s="6"/>
      <c r="G179" s="69"/>
    </row>
    <row r="180" spans="1:7" ht="15" customHeight="1" outlineLevel="2">
      <c r="A180" s="5"/>
      <c r="B180" s="65" t="s">
        <v>72</v>
      </c>
      <c r="C180" s="82"/>
      <c r="D180" s="62" t="s">
        <v>137</v>
      </c>
      <c r="E180" s="70">
        <v>306436</v>
      </c>
      <c r="F180" s="6"/>
      <c r="G180" s="69"/>
    </row>
    <row r="181" spans="1:7" ht="15" customHeight="1" outlineLevel="2">
      <c r="A181" s="5"/>
      <c r="B181" s="65" t="s">
        <v>77</v>
      </c>
      <c r="C181" s="82"/>
      <c r="D181" s="62" t="s">
        <v>137</v>
      </c>
      <c r="E181" s="70">
        <v>93234</v>
      </c>
      <c r="F181" s="6"/>
      <c r="G181" s="69"/>
    </row>
    <row r="182" spans="1:7" ht="15" customHeight="1" outlineLevel="2">
      <c r="A182" s="5"/>
      <c r="B182" s="65" t="s">
        <v>71</v>
      </c>
      <c r="C182" s="82"/>
      <c r="D182" s="62" t="s">
        <v>137</v>
      </c>
      <c r="E182" s="70">
        <v>198164</v>
      </c>
      <c r="F182" s="6"/>
      <c r="G182" s="69"/>
    </row>
    <row r="183" spans="1:7" ht="15" customHeight="1" outlineLevel="2">
      <c r="A183" s="5"/>
      <c r="B183" s="65" t="s">
        <v>64</v>
      </c>
      <c r="C183" s="81"/>
      <c r="D183" s="62" t="s">
        <v>137</v>
      </c>
      <c r="E183" s="70">
        <v>11928</v>
      </c>
      <c r="F183" s="6"/>
      <c r="G183" s="69"/>
    </row>
    <row r="184" spans="1:7" ht="15" customHeight="1" outlineLevel="2">
      <c r="A184" s="5"/>
      <c r="B184" s="65" t="s">
        <v>46</v>
      </c>
      <c r="C184" s="81"/>
      <c r="D184" s="62" t="s">
        <v>137</v>
      </c>
      <c r="E184" s="70">
        <v>509292</v>
      </c>
      <c r="F184" s="6"/>
      <c r="G184" s="69"/>
    </row>
    <row r="185" spans="1:7" ht="15" customHeight="1" outlineLevel="2">
      <c r="A185" s="5"/>
      <c r="B185" s="65" t="s">
        <v>65</v>
      </c>
      <c r="C185" s="81"/>
      <c r="D185" s="62" t="s">
        <v>137</v>
      </c>
      <c r="E185" s="70">
        <v>348371</v>
      </c>
      <c r="F185" s="6"/>
      <c r="G185" s="69"/>
    </row>
    <row r="186" spans="1:7" ht="15" customHeight="1" outlineLevel="2">
      <c r="A186" s="5"/>
      <c r="B186" s="65" t="s">
        <v>66</v>
      </c>
      <c r="C186" s="81"/>
      <c r="D186" s="62" t="s">
        <v>137</v>
      </c>
      <c r="E186" s="70">
        <v>121576</v>
      </c>
      <c r="F186" s="6"/>
      <c r="G186" s="69"/>
    </row>
    <row r="187" spans="1:7" ht="15" customHeight="1" outlineLevel="2">
      <c r="A187" s="5"/>
      <c r="B187" s="65" t="s">
        <v>25</v>
      </c>
      <c r="C187" s="81"/>
      <c r="D187" s="62" t="s">
        <v>137</v>
      </c>
      <c r="E187" s="70">
        <f>73639+14669+29366+47916+30341</f>
        <v>195931</v>
      </c>
      <c r="F187" s="6"/>
      <c r="G187" s="69"/>
    </row>
    <row r="188" spans="1:7" ht="15" customHeight="1" outlineLevel="2">
      <c r="A188" s="5"/>
      <c r="B188" s="65" t="s">
        <v>61</v>
      </c>
      <c r="C188" s="81"/>
      <c r="D188" s="62" t="s">
        <v>137</v>
      </c>
      <c r="E188" s="70">
        <v>134309</v>
      </c>
      <c r="F188" s="6"/>
      <c r="G188" s="69"/>
    </row>
    <row r="189" spans="1:7" ht="15" customHeight="1" outlineLevel="2">
      <c r="A189" s="5"/>
      <c r="B189" s="65" t="s">
        <v>58</v>
      </c>
      <c r="C189" s="81"/>
      <c r="D189" s="62" t="s">
        <v>137</v>
      </c>
      <c r="E189" s="70">
        <v>63563</v>
      </c>
      <c r="F189" s="6"/>
      <c r="G189" s="69"/>
    </row>
    <row r="190" spans="1:7" ht="15" customHeight="1" outlineLevel="2" thickBot="1">
      <c r="A190" s="5"/>
      <c r="B190" s="67" t="s">
        <v>20</v>
      </c>
      <c r="C190" s="83"/>
      <c r="D190" s="62" t="s">
        <v>137</v>
      </c>
      <c r="E190" s="79">
        <v>394526</v>
      </c>
      <c r="F190" s="68"/>
      <c r="G190" s="71">
        <f>SUM(E178:E190)</f>
        <v>2712414</v>
      </c>
    </row>
    <row r="191" spans="2:8" ht="11.25" outlineLevel="1" thickBot="1">
      <c r="B191" s="34" t="s">
        <v>13</v>
      </c>
      <c r="C191" s="64"/>
      <c r="D191" s="56"/>
      <c r="E191" s="55"/>
      <c r="F191" s="35">
        <f>SUM(F8:F190)</f>
        <v>40193226</v>
      </c>
      <c r="G191" s="35">
        <f>SUM(G8:G190)</f>
        <v>58980167</v>
      </c>
      <c r="H191" s="3"/>
    </row>
    <row r="192" spans="2:8" ht="11.25" outlineLevel="1" thickBot="1">
      <c r="B192" s="37" t="s">
        <v>14</v>
      </c>
      <c r="C192" s="56"/>
      <c r="D192" s="54"/>
      <c r="E192" s="36"/>
      <c r="F192" s="36">
        <f>G6</f>
        <v>260418120</v>
      </c>
      <c r="G192" s="36">
        <v>0</v>
      </c>
      <c r="H192" s="3"/>
    </row>
    <row r="193" spans="2:8" ht="11.25" thickBot="1">
      <c r="B193" s="39" t="s">
        <v>15</v>
      </c>
      <c r="C193" s="56"/>
      <c r="D193" s="38"/>
      <c r="E193" s="36"/>
      <c r="F193" s="36">
        <f>SUM(F191:F192)</f>
        <v>300611346</v>
      </c>
      <c r="G193" s="36">
        <f>SUM(G191:G192)</f>
        <v>58980167</v>
      </c>
      <c r="H193" s="3"/>
    </row>
    <row r="194" spans="2:7" ht="10.5" thickBot="1">
      <c r="B194" s="7"/>
      <c r="C194" s="59"/>
      <c r="D194" s="7"/>
      <c r="E194" s="6"/>
      <c r="F194" s="6"/>
      <c r="G194" s="6"/>
    </row>
    <row r="195" spans="1:7" s="9" customFormat="1" ht="15" customHeight="1" thickBot="1">
      <c r="A195" s="11"/>
      <c r="B195" s="40" t="s">
        <v>244</v>
      </c>
      <c r="C195" s="41"/>
      <c r="D195" s="41"/>
      <c r="E195" s="42">
        <f>F193-G193</f>
        <v>241631179</v>
      </c>
      <c r="F195" s="13" t="s">
        <v>7</v>
      </c>
      <c r="G195"/>
    </row>
    <row r="196" spans="2:7" s="5" customFormat="1" ht="35.25" customHeight="1">
      <c r="B196" s="7"/>
      <c r="D196" s="7"/>
      <c r="E196" s="6"/>
      <c r="F196" s="6"/>
      <c r="G196" s="6"/>
    </row>
    <row r="197" spans="2:7" s="5" customFormat="1" ht="11.25">
      <c r="B197" s="7"/>
      <c r="D197" s="7"/>
      <c r="E197" s="6"/>
      <c r="F197" s="13"/>
      <c r="G197" s="6"/>
    </row>
    <row r="198" spans="2:7" s="5" customFormat="1" ht="17.25">
      <c r="B198" s="5" t="s">
        <v>246</v>
      </c>
      <c r="D198" s="7"/>
      <c r="E198" s="6"/>
      <c r="F198" s="90" t="s">
        <v>73</v>
      </c>
      <c r="G198" s="6"/>
    </row>
    <row r="199" spans="4:7" s="5" customFormat="1" ht="15" customHeight="1">
      <c r="D199" s="12"/>
      <c r="E199" s="14"/>
      <c r="F199" s="13"/>
      <c r="G199" s="13"/>
    </row>
    <row r="200" spans="5:7" s="5" customFormat="1" ht="15" customHeight="1">
      <c r="E200" s="8"/>
      <c r="F200" s="6"/>
      <c r="G200" s="6"/>
    </row>
    <row r="201" spans="3:6" ht="10.5">
      <c r="C201" s="5"/>
      <c r="F201" s="3"/>
    </row>
    <row r="202" spans="3:5" ht="10.5">
      <c r="C202" s="5"/>
      <c r="E202" s="3"/>
    </row>
    <row r="203" ht="10.5">
      <c r="C203" s="5"/>
    </row>
    <row r="204" ht="10.5">
      <c r="C204" s="5"/>
    </row>
    <row r="205" ht="10.5">
      <c r="C205" s="5"/>
    </row>
    <row r="206" ht="10.5">
      <c r="C206" s="5"/>
    </row>
    <row r="207" ht="10.5">
      <c r="C207" s="5"/>
    </row>
    <row r="208" ht="10.5">
      <c r="C208" s="5"/>
    </row>
  </sheetData>
  <sheetProtection/>
  <autoFilter ref="E4:E209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4">
      <selection activeCell="I21" sqref="I21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50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80</v>
      </c>
      <c r="D7" s="70">
        <v>480000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f>93</f>
        <v>93</v>
      </c>
      <c r="D8" s="70">
        <v>558000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v>213</v>
      </c>
      <c r="D9" s="70">
        <v>1278000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151</v>
      </c>
      <c r="D10" s="70">
        <v>912000</v>
      </c>
      <c r="E10" s="43">
        <v>0</v>
      </c>
    </row>
    <row r="11" spans="2:5" s="5" customFormat="1" ht="15" customHeight="1">
      <c r="B11" s="24" t="s">
        <v>26</v>
      </c>
      <c r="C11" s="32">
        <f>148</f>
        <v>148</v>
      </c>
      <c r="D11" s="70">
        <f>876000</f>
        <v>876000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1+1+1+441</f>
        <v>444</v>
      </c>
      <c r="D12" s="70">
        <f>2400+18000+2400+2646000</f>
        <v>2668800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1+1+1+1+1+1+520</f>
        <v>526</v>
      </c>
      <c r="D13" s="70">
        <f>32800+2200+5100+2200+2200+39900+3120000</f>
        <v>3204400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f>60</f>
        <v>60</v>
      </c>
      <c r="D14" s="70">
        <v>360000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f>1+118</f>
        <v>119</v>
      </c>
      <c r="D15" s="70">
        <f>6000+708000</f>
        <v>714000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1+1+1+354</f>
        <v>357</v>
      </c>
      <c r="D16" s="70">
        <f>9600+2200+2500+2118000+6000</f>
        <v>2138300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1+140+1</f>
        <v>142</v>
      </c>
      <c r="D17" s="70">
        <f>2200+840000+6000</f>
        <v>848200</v>
      </c>
      <c r="E17" s="43">
        <v>774000</v>
      </c>
    </row>
    <row r="18" spans="2:5" s="5" customFormat="1" ht="15" customHeight="1">
      <c r="B18" s="24" t="s">
        <v>40</v>
      </c>
      <c r="C18" s="32">
        <f>297+1</f>
        <v>298</v>
      </c>
      <c r="D18" s="69">
        <v>1882000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1+104+1</f>
        <v>106</v>
      </c>
      <c r="D19" s="70">
        <f>2400+624000+1600</f>
        <v>628000</v>
      </c>
      <c r="E19" s="43">
        <v>442900</v>
      </c>
    </row>
    <row r="20" spans="2:5" s="5" customFormat="1" ht="15" customHeight="1">
      <c r="B20" s="24" t="s">
        <v>41</v>
      </c>
      <c r="C20" s="32">
        <f>1+1+1+389+1+1</f>
        <v>394</v>
      </c>
      <c r="D20" s="70">
        <f>7200+28800+2200+2334000+2200+4800</f>
        <v>2379200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263+1</f>
        <v>264</v>
      </c>
      <c r="D21" s="70">
        <f>1578000+7000</f>
        <v>1585000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1+203</f>
        <v>204</v>
      </c>
      <c r="D22" s="70">
        <f>2200+1218000</f>
        <v>1220200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206</f>
        <v>206</v>
      </c>
      <c r="D23" s="70">
        <v>1236000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122</v>
      </c>
      <c r="D24" s="70">
        <v>732000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112</v>
      </c>
      <c r="D25" s="78">
        <v>672000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4039</v>
      </c>
      <c r="D26" s="51">
        <f>SUM(D7:D25)</f>
        <v>24372100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">
      <c r="F36" s="5"/>
    </row>
    <row r="37" ht="12">
      <c r="F37" s="5"/>
    </row>
    <row r="38" ht="12">
      <c r="F38" s="5"/>
    </row>
    <row r="39" ht="12">
      <c r="F39" s="5"/>
    </row>
    <row r="40" ht="12">
      <c r="F40" s="5"/>
    </row>
    <row r="41" ht="12">
      <c r="F41" s="5"/>
    </row>
    <row r="42" ht="12">
      <c r="F42" s="5"/>
    </row>
    <row r="43" ht="12">
      <c r="F43" s="5"/>
    </row>
    <row r="44" ht="12">
      <c r="F44" s="5"/>
    </row>
    <row r="45" ht="12">
      <c r="F45" s="5"/>
    </row>
    <row r="46" ht="12">
      <c r="F46" s="5"/>
    </row>
    <row r="47" ht="12">
      <c r="F47" s="5"/>
    </row>
    <row r="48" ht="12">
      <c r="F48" s="5"/>
    </row>
    <row r="49" ht="12">
      <c r="F49" s="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">
      <c r="B3" s="16"/>
      <c r="C3" s="16"/>
    </row>
    <row r="4" spans="2:3" ht="13.5">
      <c r="B4" s="16"/>
      <c r="C4" s="53" t="s">
        <v>56</v>
      </c>
    </row>
    <row r="5" ht="12.75" thickBot="1"/>
    <row r="6" spans="2:5" s="17" customFormat="1" ht="28.5" customHeight="1" thickBot="1">
      <c r="B6" s="91" t="s">
        <v>51</v>
      </c>
      <c r="C6" s="96" t="s">
        <v>52</v>
      </c>
      <c r="D6" s="52" t="s">
        <v>53</v>
      </c>
      <c r="E6" s="101" t="s">
        <v>68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67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2022-09-28T22:03:48Z</cp:lastPrinted>
  <dcterms:created xsi:type="dcterms:W3CDTF">2000-09-21T06:07:13Z</dcterms:created>
  <dcterms:modified xsi:type="dcterms:W3CDTF">2022-09-29T01:50:28Z</dcterms:modified>
  <cp:category/>
  <cp:version/>
  <cp:contentType/>
  <cp:contentStatus/>
</cp:coreProperties>
</file>