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'informe'!$E$4:$E$191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9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5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<sst xmlns="http://schemas.openxmlformats.org/spreadsheetml/2006/main" count="308" uniqueCount="227">
  <si>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</si>
  <si>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</si>
  <si>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</si>
  <si>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</si>
  <si>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</si>
  <si>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</si>
  <si>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</si>
  <si>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</si>
  <si>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</si>
  <si>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</si>
  <si>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</si>
  <si>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</si>
  <si>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</si>
  <si>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</si>
  <si>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</si>
  <si>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</si>
  <si>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</si>
  <si>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</si>
  <si>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</si>
  <si>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</si>
  <si>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</si>
  <si>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</si>
  <si>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</si>
  <si>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</si>
  <si>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</si>
  <si>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</si>
  <si>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</si>
  <si>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</si>
  <si>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</si>
  <si>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</si>
  <si>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</si>
  <si>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</si>
  <si>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</si>
  <si>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</si>
  <si>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</si>
  <si>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</si>
  <si>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</si>
  <si>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</si>
  <si>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</si>
  <si>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</si>
  <si>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</si>
  <si>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</si>
  <si>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</si>
  <si>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</si>
  <si>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</si>
  <si>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</si>
  <si>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</si>
  <si>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</si>
  <si>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</si>
  <si>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</si>
  <si>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</si>
  <si>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</si>
  <si>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</si>
  <si>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</si>
  <si>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</si>
  <si>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</si>
  <si>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</si>
  <si>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</si>
  <si>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</si>
  <si>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</si>
  <si>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</si>
  <si>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</si>
  <si>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</si>
  <si>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</si>
  <si>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</si>
  <si>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</si>
  <si>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</si>
  <si>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</si>
  <si>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</si>
  <si>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</si>
  <si>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 xml:space="preserve">           Tesorería Nacional</t>
  </si>
  <si>
    <t>DIRECTV</t>
  </si>
  <si>
    <t>REGIONAL VALDIVIA</t>
  </si>
  <si>
    <t>CARLOS CACERES</t>
  </si>
  <si>
    <t>ISAPRE COLMENA</t>
  </si>
  <si>
    <t>CHILQUINTA S.A.</t>
  </si>
  <si>
    <t>COÑARIPE</t>
  </si>
  <si>
    <t>HOGAR</t>
  </si>
  <si>
    <t>MARIA HUENULLAN</t>
  </si>
  <si>
    <t>Telefono Tesoreria</t>
  </si>
  <si>
    <t>HOGAR C</t>
  </si>
  <si>
    <t>REGIONAL SANTIAGO</t>
  </si>
  <si>
    <t>TURISMO ESQUERRE</t>
  </si>
  <si>
    <t>MAPFRE</t>
  </si>
  <si>
    <t>DAVIS RIQUELME</t>
  </si>
  <si>
    <t>NAYARET QUEVEDO</t>
  </si>
  <si>
    <t>LILIAN HUANCA</t>
  </si>
  <si>
    <t>SUELDO</t>
  </si>
  <si>
    <t>JUAN CIRO LOPEZ</t>
  </si>
  <si>
    <t>YEHIMY LLAMOCA</t>
  </si>
  <si>
    <t>WALESKA AGUILAR</t>
  </si>
  <si>
    <t>ELBA QUEZADA</t>
  </si>
  <si>
    <t>VICTOR SALAZAR</t>
  </si>
  <si>
    <t>JULIETA VEGA</t>
  </si>
  <si>
    <t>ANA CANEO</t>
  </si>
  <si>
    <t>JULIO HORMAZABAL</t>
  </si>
  <si>
    <t>RAQUEL ARIAS</t>
  </si>
  <si>
    <t>JUAN CARLOS HIDALGO</t>
  </si>
  <si>
    <t>CRISTINA SILVA</t>
  </si>
  <si>
    <t>DIMERC</t>
  </si>
  <si>
    <t>REGIONAL RANCAGUA</t>
  </si>
  <si>
    <t>REMIGIO CASTRO</t>
  </si>
  <si>
    <t>FONDOS POR RENDIR</t>
  </si>
  <si>
    <t xml:space="preserve">50 porciento celular </t>
  </si>
  <si>
    <t>Pagos decuentos regional</t>
  </si>
  <si>
    <t>50 porciento internet</t>
  </si>
  <si>
    <t>SERVIPAG</t>
  </si>
  <si>
    <t>Mantención cabañas Coñaripe</t>
  </si>
  <si>
    <t>Recarga Coñaripe</t>
  </si>
  <si>
    <t>CARNES XIMA</t>
  </si>
  <si>
    <t>Carnes Loncura</t>
  </si>
  <si>
    <t>JAIME RETAMAL</t>
  </si>
  <si>
    <t>Gas Coñaripe</t>
  </si>
  <si>
    <t>Consumo luz Loncura</t>
  </si>
  <si>
    <t>Consumo agua</t>
  </si>
  <si>
    <t>Telefono Secretaria y Hogar</t>
  </si>
  <si>
    <t>CLAUDIA PIÑA</t>
  </si>
  <si>
    <t>Pescados Loncura</t>
  </si>
  <si>
    <t>RELACIONES PUBLICAS</t>
  </si>
  <si>
    <t>Consumo luz Coñaripe - Mehuin</t>
  </si>
  <si>
    <t>Consumo luz</t>
  </si>
  <si>
    <t>Consumo Agua</t>
  </si>
  <si>
    <t xml:space="preserve">Arts. Aseo </t>
  </si>
  <si>
    <t>TV cable</t>
  </si>
  <si>
    <t>Consumo Luz</t>
  </si>
  <si>
    <t>Pago celular Yehimy e internet</t>
  </si>
  <si>
    <t>Fondos  Loncura</t>
  </si>
  <si>
    <t>Remplazo encargado hogar</t>
  </si>
  <si>
    <t>Seguro incendio</t>
  </si>
  <si>
    <t>LONCURA</t>
  </si>
  <si>
    <t>Estadía</t>
  </si>
  <si>
    <t>Pago cuota psaje Subrac Buenos Aires</t>
  </si>
  <si>
    <t>Deposito Retenciones 10 % e impto. Unico</t>
  </si>
  <si>
    <t>Estadia Hogar</t>
  </si>
  <si>
    <t>MARIA SEPULVEDA</t>
  </si>
  <si>
    <t>Cheque depositado devuelto Coñaripe</t>
  </si>
  <si>
    <t>JUAN ROJAS</t>
  </si>
  <si>
    <t>Recreacion red y configuraciones PC oficina</t>
  </si>
  <si>
    <t>Mantención cabaña Mehuin dic</t>
  </si>
  <si>
    <t>Servicio lavados ropa cama Mehuin</t>
  </si>
  <si>
    <t>Pasaje Raquel Arias Reunion enero y taller</t>
  </si>
  <si>
    <t>Diferencia compra TV Loncura</t>
  </si>
  <si>
    <t>Asesoria juridica diciembre</t>
  </si>
  <si>
    <t>Pasaje  Lilian Huanca Reunion enero y taller</t>
  </si>
  <si>
    <t>ENILDE HERNANDEZ</t>
  </si>
  <si>
    <t>Gas Loncura</t>
  </si>
  <si>
    <t>Mantención puerta Mehuin</t>
  </si>
  <si>
    <t>VICTOR CARTAGENA</t>
  </si>
  <si>
    <t>Trabajos varios Hogar</t>
  </si>
  <si>
    <t>Pasaje Claudia Oporto reunion y Taller oratoria</t>
  </si>
  <si>
    <t>Compra telefono secretaria  y tesoreria</t>
  </si>
  <si>
    <t>Recarga directv Loncura</t>
  </si>
  <si>
    <t>LUIS FUENZALIDA</t>
  </si>
  <si>
    <t>GLORIA BORDONES</t>
  </si>
  <si>
    <t>Devolución 50 % consultivo ( Arica)</t>
  </si>
  <si>
    <t>Compras Loncura</t>
  </si>
  <si>
    <t>Compra telefono</t>
  </si>
  <si>
    <t>Pan Loncura</t>
  </si>
  <si>
    <t>RODRIGO SALINAS</t>
  </si>
  <si>
    <t>Reembolso gastos directorio</t>
  </si>
  <si>
    <t>Diciembre</t>
  </si>
  <si>
    <t>Impuesto y retenciones diciembre</t>
  </si>
  <si>
    <t>REGIONAL MALLECO CAUTIN</t>
  </si>
  <si>
    <t>Pago imposiciones diciembre</t>
  </si>
  <si>
    <t>METLIFE</t>
  </si>
  <si>
    <t>JOSE BARRIENTOS</t>
  </si>
  <si>
    <t>Servicio atención garzon Loncura</t>
  </si>
  <si>
    <t>VICTOR FERNANDEZ</t>
  </si>
  <si>
    <t>Frutas y verdura Loncura</t>
  </si>
  <si>
    <t>REGINA ACOSTA</t>
  </si>
  <si>
    <t>Traslado directorio</t>
  </si>
  <si>
    <t>Articulos escritorio oficina</t>
  </si>
  <si>
    <t>NICOL ELGUETA</t>
  </si>
  <si>
    <t>Servicio coperia Loncura</t>
  </si>
  <si>
    <t>MARCO FORMANDOY</t>
  </si>
  <si>
    <t>Reparacion ventana Mehuin</t>
  </si>
  <si>
    <t>Publicación primera convocatoria</t>
  </si>
  <si>
    <t>Gastos traslado coñaripe y mehuin compras</t>
  </si>
  <si>
    <t>GUIDO ARRIAZA</t>
  </si>
  <si>
    <t>Reparaciones varias Coñaripe</t>
  </si>
  <si>
    <t>HBO SERVICIOS EIRL</t>
  </si>
  <si>
    <t>Limpieza fosa Coñaripe</t>
  </si>
  <si>
    <t>Diferencia fondos por Rendir compras Coñaripe</t>
  </si>
  <si>
    <t>Compra e instalacion puerta Mehuin</t>
  </si>
  <si>
    <t>Diferencia fondos por Rendir compras Loncura</t>
  </si>
  <si>
    <t>Compra diario oficial</t>
  </si>
  <si>
    <t>Atención taller capacitacion</t>
  </si>
  <si>
    <t>JESSICA FUICA</t>
  </si>
  <si>
    <t>Asistencia reunión y consultivo</t>
  </si>
  <si>
    <t>Compra pilas, amplificador y cable</t>
  </si>
  <si>
    <t>VIVIANA SILVA</t>
  </si>
  <si>
    <t>Servicio Garzon Loncura</t>
  </si>
  <si>
    <t>JAIME ZAMBRONA</t>
  </si>
  <si>
    <t>Gas Mehuin</t>
  </si>
  <si>
    <t>Retiro basura y escombros Loncura</t>
  </si>
  <si>
    <t>LUIS CABRERA</t>
  </si>
  <si>
    <t>Servicio  garzon Loncura</t>
  </si>
  <si>
    <t>JOSE PULQUILLANCA</t>
  </si>
  <si>
    <t>Trabajos varios Mehuin</t>
  </si>
  <si>
    <t>Compra pasaje Lilian Huanca</t>
  </si>
  <si>
    <t>PABLO CACERES</t>
  </si>
  <si>
    <t xml:space="preserve">Goma  ducha </t>
  </si>
  <si>
    <t>TESORERIA GENERAL</t>
  </si>
  <si>
    <t>Diferencia sobretasas</t>
  </si>
  <si>
    <t>Asistencia tellar y visita Loncura</t>
  </si>
  <si>
    <t>Enero</t>
  </si>
  <si>
    <t>Compras mantención Loncura</t>
  </si>
  <si>
    <t>Asistencia reunion enero</t>
  </si>
  <si>
    <t>Gasto correspondencia enero</t>
  </si>
  <si>
    <t>Asesoria diciembre y enero</t>
  </si>
  <si>
    <t>Seguro Directorio diciembre y enero</t>
  </si>
  <si>
    <t>Mantención jardin Loncura  enero</t>
  </si>
  <si>
    <t>Mantención cabaña Coñaripe</t>
  </si>
  <si>
    <t>Gastos talller y Reunion Directorio</t>
  </si>
  <si>
    <t>Diferencia isapre no descontada</t>
  </si>
  <si>
    <t>CHRISTIAN GUIÑEZ</t>
  </si>
  <si>
    <t>Descuento no efectuado diciembre Valdivia</t>
  </si>
  <si>
    <t xml:space="preserve">CYNTHIA PAIRO </t>
  </si>
  <si>
    <t>Diferencia fondos por Rendir Loncura</t>
  </si>
  <si>
    <t>Descuentos regional enero</t>
  </si>
  <si>
    <t xml:space="preserve">Diferencia fondos por Rendir </t>
  </si>
  <si>
    <t>REGIONAL MALLECO CUATIN</t>
  </si>
  <si>
    <t>Deposito cotizaciones diciembre</t>
  </si>
  <si>
    <t>ENERO 2023</t>
  </si>
  <si>
    <t>Viaje Loncura Directores</t>
  </si>
  <si>
    <t>SALDO EN CTA. CTE. AL 31/01/2023</t>
  </si>
  <si>
    <t>SANTIAGO, 17/02/2023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</si>
</sst>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rgb="FF9933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181" fontId="4" fillId="0" borderId="41" xfId="0" applyNumberFormat="1" applyFont="1" applyFill="1" applyBorder="1" applyAlignment="1">
      <alignment/>
    </xf>
    <xf numFmtId="9" fontId="2" fillId="0" borderId="49" xfId="55" applyFont="1" applyFill="1" applyBorder="1" applyAlignment="1">
      <alignment/>
    </xf>
    <xf numFmtId="181" fontId="2" fillId="0" borderId="49" xfId="0" applyNumberFormat="1" applyFont="1" applyFill="1" applyBorder="1" applyAlignment="1">
      <alignment/>
    </xf>
    <xf numFmtId="9" fontId="3" fillId="0" borderId="49" xfId="55" applyFont="1" applyFill="1" applyBorder="1" applyAlignment="1">
      <alignment/>
    </xf>
    <xf numFmtId="0" fontId="2" fillId="0" borderId="49" xfId="0" applyFont="1" applyFill="1" applyBorder="1" applyAlignment="1">
      <alignment/>
    </xf>
    <xf numFmtId="181" fontId="4" fillId="0" borderId="49" xfId="0" applyNumberFormat="1" applyFont="1" applyFill="1" applyBorder="1" applyAlignment="1">
      <alignment/>
    </xf>
    <xf numFmtId="181" fontId="3" fillId="0" borderId="49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9" fontId="2" fillId="0" borderId="51" xfId="55" applyFont="1" applyFill="1" applyBorder="1" applyAlignment="1">
      <alignment/>
    </xf>
    <xf numFmtId="181" fontId="16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90"/>
  <sheetViews>
    <sheetView tabSelected="1" zoomScale="110" zoomScaleNormal="110" zoomScalePageLayoutView="0" workbookViewId="0" topLeftCell="A1">
      <pane ySplit="7" topLeftCell="A176" activePane="bottomLeft" state="frozen"/>
      <selection pane="topLeft" activeCell="A1" sqref="A1"/>
      <selection pane="bottomLeft" activeCell="D189" sqref="D189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223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26</v>
      </c>
      <c r="G6" s="27">
        <v>208458286</v>
      </c>
    </row>
    <row r="7" spans="2:7" ht="24" customHeight="1" thickBot="1">
      <c r="B7" s="74" t="s">
        <v>0</v>
      </c>
      <c r="C7" s="57"/>
      <c r="D7" s="31" t="s">
        <v>43</v>
      </c>
      <c r="E7" s="74"/>
      <c r="F7" s="31" t="s">
        <v>1</v>
      </c>
      <c r="G7" s="31" t="s">
        <v>2</v>
      </c>
    </row>
    <row r="8" spans="1:7" ht="12" outlineLevel="2">
      <c r="A8" s="5"/>
      <c r="B8" s="83" t="s">
        <v>3</v>
      </c>
      <c r="C8" s="58"/>
      <c r="D8" s="71"/>
      <c r="E8" s="75"/>
      <c r="F8" s="73"/>
      <c r="G8" s="21"/>
    </row>
    <row r="9" spans="1:7" ht="11.25" outlineLevel="2">
      <c r="A9" s="5"/>
      <c r="B9" s="84"/>
      <c r="C9" s="58"/>
      <c r="D9" s="71"/>
      <c r="E9" s="76"/>
      <c r="F9" s="29"/>
      <c r="G9" s="22"/>
    </row>
    <row r="10" spans="1:7" ht="15.75" customHeight="1" outlineLevel="2">
      <c r="A10" s="5"/>
      <c r="B10" s="85" t="s">
        <v>4</v>
      </c>
      <c r="C10" s="33"/>
      <c r="D10" s="11"/>
      <c r="E10" s="23"/>
      <c r="F10" s="30">
        <f>SUM(E11:E27)</f>
        <v>22441200</v>
      </c>
      <c r="G10" s="23"/>
    </row>
    <row r="11" spans="1:7" ht="15" customHeight="1" hidden="1" outlineLevel="2">
      <c r="A11" s="5"/>
      <c r="B11" s="64" t="s">
        <v>32</v>
      </c>
      <c r="C11" s="32">
        <v>77</v>
      </c>
      <c r="D11" s="72"/>
      <c r="E11" s="69">
        <v>462000</v>
      </c>
      <c r="F11" s="6"/>
      <c r="G11" s="23"/>
    </row>
    <row r="12" spans="1:7" ht="15" customHeight="1" hidden="1" outlineLevel="2">
      <c r="A12" s="5"/>
      <c r="B12" s="64" t="s">
        <v>27</v>
      </c>
      <c r="C12" s="32">
        <v>95</v>
      </c>
      <c r="D12" s="72"/>
      <c r="E12" s="69">
        <v>570000</v>
      </c>
      <c r="F12" s="6"/>
      <c r="G12" s="23"/>
    </row>
    <row r="13" spans="1:7" ht="15" customHeight="1" hidden="1" outlineLevel="2">
      <c r="A13" s="5"/>
      <c r="B13" s="64" t="s">
        <v>30</v>
      </c>
      <c r="C13" s="32">
        <f>210+1</f>
        <v>211</v>
      </c>
      <c r="D13" s="72"/>
      <c r="E13" s="69">
        <f>1260000+2400</f>
        <v>1262400</v>
      </c>
      <c r="F13" s="6"/>
      <c r="G13" s="23"/>
    </row>
    <row r="14" spans="1:7" ht="15" customHeight="1" hidden="1" outlineLevel="2">
      <c r="A14" s="5"/>
      <c r="B14" s="64" t="s">
        <v>33</v>
      </c>
      <c r="C14" s="32">
        <f>1+151</f>
        <v>152</v>
      </c>
      <c r="D14" s="72"/>
      <c r="E14" s="68">
        <f>2400+906000</f>
        <v>908400</v>
      </c>
      <c r="F14" s="6"/>
      <c r="G14" s="23"/>
    </row>
    <row r="15" spans="1:7" ht="15" customHeight="1" hidden="1" outlineLevel="2">
      <c r="A15" s="5"/>
      <c r="B15" s="64" t="s">
        <v>25</v>
      </c>
      <c r="C15" s="32">
        <f>144+2</f>
        <v>146</v>
      </c>
      <c r="D15" s="72"/>
      <c r="E15" s="69">
        <f>864000+12000</f>
        <v>876000</v>
      </c>
      <c r="F15" s="6"/>
      <c r="G15" s="23"/>
    </row>
    <row r="16" spans="1:7" ht="15" customHeight="1" hidden="1" outlineLevel="2">
      <c r="A16" s="5"/>
      <c r="B16" s="64" t="s">
        <v>34</v>
      </c>
      <c r="C16" s="32">
        <f>1+1+1+427+1</f>
        <v>431</v>
      </c>
      <c r="D16" s="72"/>
      <c r="E16" s="69">
        <f>2400+18000+2562000+2200</f>
        <v>2584600</v>
      </c>
      <c r="F16" s="6"/>
      <c r="G16" s="23"/>
    </row>
    <row r="17" spans="1:7" ht="15" customHeight="1" hidden="1" outlineLevel="2">
      <c r="A17" s="5"/>
      <c r="B17" s="64" t="s">
        <v>35</v>
      </c>
      <c r="C17" s="32">
        <f>1+1+1+1+1+1+1+1+479+4</f>
        <v>491</v>
      </c>
      <c r="D17" s="72"/>
      <c r="E17" s="69">
        <f>2200+2400+2400+9600+4800+7200+2200+2300+78000+2874000+24000</f>
        <v>3009100</v>
      </c>
      <c r="F17" s="6"/>
      <c r="G17" s="23"/>
    </row>
    <row r="18" spans="1:7" ht="15" customHeight="1" hidden="1" outlineLevel="2">
      <c r="A18" s="5"/>
      <c r="B18" s="64" t="s">
        <v>36</v>
      </c>
      <c r="C18" s="32">
        <f>330+2+1+1</f>
        <v>334</v>
      </c>
      <c r="D18" s="72"/>
      <c r="E18" s="69">
        <f>12000+1980000+2400+6000</f>
        <v>2000400</v>
      </c>
      <c r="F18" s="6"/>
      <c r="G18" s="23"/>
    </row>
    <row r="19" spans="1:7" ht="15" customHeight="1" hidden="1" outlineLevel="2">
      <c r="A19" s="5"/>
      <c r="B19" s="64" t="s">
        <v>37</v>
      </c>
      <c r="C19" s="32">
        <v>139</v>
      </c>
      <c r="D19" s="72"/>
      <c r="E19" s="69">
        <v>834000</v>
      </c>
      <c r="F19" s="6"/>
      <c r="G19" s="23"/>
    </row>
    <row r="20" spans="1:7" ht="15" customHeight="1" hidden="1" outlineLevel="2">
      <c r="A20" s="5"/>
      <c r="B20" s="64" t="s">
        <v>38</v>
      </c>
      <c r="C20" s="32">
        <v>295</v>
      </c>
      <c r="D20" s="72"/>
      <c r="E20" s="68">
        <f>1770000</f>
        <v>1770000</v>
      </c>
      <c r="F20" s="6"/>
      <c r="G20" s="23"/>
    </row>
    <row r="21" spans="1:7" ht="15" customHeight="1" hidden="1" outlineLevel="2">
      <c r="A21" s="5"/>
      <c r="B21" s="64" t="s">
        <v>23</v>
      </c>
      <c r="C21" s="32">
        <f>1+1+98</f>
        <v>100</v>
      </c>
      <c r="D21" s="72"/>
      <c r="E21" s="69">
        <f>2400+2200+588000</f>
        <v>592600</v>
      </c>
      <c r="F21" s="6"/>
      <c r="G21" s="23"/>
    </row>
    <row r="22" spans="1:7" ht="15" customHeight="1" hidden="1" outlineLevel="2">
      <c r="A22" s="5"/>
      <c r="B22" s="64" t="s">
        <v>39</v>
      </c>
      <c r="C22" s="32">
        <f>1+1+371+2+1</f>
        <v>376</v>
      </c>
      <c r="D22" s="72"/>
      <c r="E22" s="69">
        <f>7200+6900+2359500+12000+2200</f>
        <v>2387800</v>
      </c>
      <c r="F22" s="6"/>
      <c r="G22" s="23"/>
    </row>
    <row r="23" spans="1:7" ht="15" customHeight="1" hidden="1" outlineLevel="2">
      <c r="A23" s="5"/>
      <c r="B23" s="64" t="s">
        <v>28</v>
      </c>
      <c r="C23" s="32">
        <f>1+1+245+1</f>
        <v>248</v>
      </c>
      <c r="D23" s="72"/>
      <c r="E23" s="69">
        <f>2200+2400+1470000+6000</f>
        <v>1480600</v>
      </c>
      <c r="F23" s="6"/>
      <c r="G23" s="23"/>
    </row>
    <row r="24" spans="1:7" ht="15" customHeight="1" hidden="1" outlineLevel="2">
      <c r="A24" s="5"/>
      <c r="B24" s="64" t="s">
        <v>40</v>
      </c>
      <c r="C24" s="32">
        <f>1+202+2</f>
        <v>205</v>
      </c>
      <c r="D24" s="72"/>
      <c r="E24" s="69">
        <f>5100+1212000+12000</f>
        <v>1229100</v>
      </c>
      <c r="F24" s="6"/>
      <c r="G24" s="23"/>
    </row>
    <row r="25" spans="1:7" ht="15" customHeight="1" hidden="1" outlineLevel="2">
      <c r="A25" s="5"/>
      <c r="B25" s="64" t="s">
        <v>29</v>
      </c>
      <c r="C25" s="32">
        <f>1+189</f>
        <v>190</v>
      </c>
      <c r="D25" s="72"/>
      <c r="E25" s="69">
        <f>2200+1134000</f>
        <v>1136200</v>
      </c>
      <c r="F25" s="6"/>
      <c r="G25" s="23"/>
    </row>
    <row r="26" spans="1:7" ht="15" customHeight="1" hidden="1" outlineLevel="2">
      <c r="A26" s="5"/>
      <c r="B26" s="64" t="s">
        <v>41</v>
      </c>
      <c r="C26" s="32">
        <f>2+113</f>
        <v>115</v>
      </c>
      <c r="D26" s="72"/>
      <c r="E26" s="69">
        <f>12000+678000</f>
        <v>690000</v>
      </c>
      <c r="F26" s="6"/>
      <c r="G26" s="23"/>
    </row>
    <row r="27" spans="1:7" ht="14.25" customHeight="1" hidden="1" outlineLevel="2">
      <c r="A27" s="5"/>
      <c r="B27" s="64" t="s">
        <v>42</v>
      </c>
      <c r="C27" s="32">
        <f>1+107</f>
        <v>108</v>
      </c>
      <c r="D27" s="72"/>
      <c r="E27" s="77">
        <f>6000+642000</f>
        <v>648000</v>
      </c>
      <c r="F27" s="6"/>
      <c r="G27" s="23"/>
    </row>
    <row r="28" spans="1:7" ht="12" customHeight="1" outlineLevel="2">
      <c r="A28" s="5"/>
      <c r="B28" s="86"/>
      <c r="C28" s="5"/>
      <c r="D28" s="62"/>
      <c r="E28" s="77"/>
      <c r="F28" s="6"/>
      <c r="G28" s="23"/>
    </row>
    <row r="29" spans="1:7" ht="15" customHeight="1" outlineLevel="2">
      <c r="A29" s="5"/>
      <c r="B29" s="85" t="s">
        <v>5</v>
      </c>
      <c r="C29" s="11"/>
      <c r="D29" s="62"/>
      <c r="E29" s="69"/>
      <c r="F29" s="6"/>
      <c r="G29" s="23"/>
    </row>
    <row r="30" spans="1:7" ht="15" customHeight="1" outlineLevel="2">
      <c r="A30" s="5"/>
      <c r="B30" s="64" t="s">
        <v>77</v>
      </c>
      <c r="C30" s="11"/>
      <c r="D30" s="5" t="s">
        <v>133</v>
      </c>
      <c r="E30" s="69">
        <f>20000+26000+26000+20000+8667+39667+26000+26000+26000+33333+13000+25000+13000+15000+13000+10000+6500+32500+123067+28167+18000+117500</f>
        <v>666401</v>
      </c>
      <c r="F30" s="6"/>
      <c r="G30" s="23"/>
    </row>
    <row r="31" spans="1:7" ht="15" customHeight="1" outlineLevel="2">
      <c r="A31" s="5"/>
      <c r="B31" s="64" t="s">
        <v>81</v>
      </c>
      <c r="C31" s="32"/>
      <c r="D31" s="5" t="s">
        <v>132</v>
      </c>
      <c r="E31" s="69">
        <f>57143+60000</f>
        <v>117143</v>
      </c>
      <c r="F31" s="6"/>
      <c r="G31" s="23"/>
    </row>
    <row r="32" spans="1:7" ht="15" customHeight="1" outlineLevel="2">
      <c r="A32" s="5"/>
      <c r="B32" s="64" t="s">
        <v>72</v>
      </c>
      <c r="C32" s="32"/>
      <c r="D32" s="5" t="s">
        <v>219</v>
      </c>
      <c r="E32" s="69">
        <f>12709115</f>
        <v>12709115</v>
      </c>
      <c r="F32" s="6"/>
      <c r="G32" s="23"/>
    </row>
    <row r="33" spans="1:7" ht="15" customHeight="1" outlineLevel="2">
      <c r="A33" s="5"/>
      <c r="B33" s="64" t="s">
        <v>221</v>
      </c>
      <c r="C33" s="32"/>
      <c r="D33" s="5" t="s">
        <v>222</v>
      </c>
      <c r="E33" s="69">
        <v>183346</v>
      </c>
      <c r="F33" s="6"/>
      <c r="G33" s="23"/>
    </row>
    <row r="34" spans="1:7" ht="15" customHeight="1" outlineLevel="2">
      <c r="A34" s="5"/>
      <c r="B34" s="64" t="s">
        <v>55</v>
      </c>
      <c r="C34" s="32"/>
      <c r="D34" s="5" t="s">
        <v>220</v>
      </c>
      <c r="E34" s="69">
        <v>1326</v>
      </c>
      <c r="F34" s="6"/>
      <c r="G34" s="23"/>
    </row>
    <row r="35" spans="1:7" ht="15" customHeight="1" outlineLevel="2">
      <c r="A35" s="5"/>
      <c r="B35" s="64" t="s">
        <v>55</v>
      </c>
      <c r="C35" s="32"/>
      <c r="D35" s="5" t="s">
        <v>214</v>
      </c>
      <c r="E35" s="69">
        <v>17050</v>
      </c>
      <c r="F35" s="6"/>
      <c r="G35" s="23"/>
    </row>
    <row r="36" spans="1:7" ht="15" customHeight="1" outlineLevel="2">
      <c r="A36" s="5"/>
      <c r="B36" s="64" t="s">
        <v>217</v>
      </c>
      <c r="C36" s="32"/>
      <c r="D36" s="5" t="s">
        <v>218</v>
      </c>
      <c r="E36" s="69">
        <v>20530</v>
      </c>
      <c r="F36" s="6"/>
      <c r="G36" s="23"/>
    </row>
    <row r="37" spans="1:7" ht="15" customHeight="1" outlineLevel="2">
      <c r="A37" s="5"/>
      <c r="B37" s="64" t="s">
        <v>96</v>
      </c>
      <c r="C37" s="32"/>
      <c r="D37" s="5" t="s">
        <v>131</v>
      </c>
      <c r="E37" s="69">
        <v>95000</v>
      </c>
      <c r="F37" s="6"/>
      <c r="G37" s="23"/>
    </row>
    <row r="38" spans="1:7" ht="15" customHeight="1" outlineLevel="2">
      <c r="A38" s="5"/>
      <c r="B38" s="64" t="s">
        <v>86</v>
      </c>
      <c r="C38" s="32"/>
      <c r="D38" s="5" t="s">
        <v>131</v>
      </c>
      <c r="E38" s="69">
        <v>119333</v>
      </c>
      <c r="F38" s="6"/>
      <c r="G38" s="23"/>
    </row>
    <row r="39" spans="1:7" ht="15" customHeight="1" outlineLevel="2">
      <c r="A39" s="5"/>
      <c r="B39" s="64" t="s">
        <v>97</v>
      </c>
      <c r="C39" s="32"/>
      <c r="D39" s="5" t="s">
        <v>131</v>
      </c>
      <c r="E39" s="69">
        <v>72417</v>
      </c>
      <c r="F39" s="6"/>
      <c r="G39" s="23"/>
    </row>
    <row r="40" spans="1:7" ht="15" customHeight="1" outlineLevel="2">
      <c r="A40" s="5"/>
      <c r="B40" s="64" t="s">
        <v>215</v>
      </c>
      <c r="C40" s="32"/>
      <c r="D40" s="5" t="s">
        <v>216</v>
      </c>
      <c r="E40" s="77">
        <v>112770</v>
      </c>
      <c r="F40" s="6">
        <f>SUM(E30:E40)</f>
        <v>14114431</v>
      </c>
      <c r="G40" s="23"/>
    </row>
    <row r="41" spans="1:7" ht="15" customHeight="1" outlineLevel="2">
      <c r="A41" s="5"/>
      <c r="B41" s="64"/>
      <c r="C41" s="32"/>
      <c r="D41" s="5"/>
      <c r="E41" s="69"/>
      <c r="F41" s="6"/>
      <c r="G41" s="23"/>
    </row>
    <row r="42" spans="1:7" ht="15" customHeight="1" outlineLevel="2">
      <c r="A42" s="5" t="s">
        <v>7</v>
      </c>
      <c r="B42" s="85" t="s">
        <v>8</v>
      </c>
      <c r="C42" s="33"/>
      <c r="D42" s="11"/>
      <c r="E42" s="69"/>
      <c r="F42" s="6"/>
      <c r="G42" s="23"/>
    </row>
    <row r="43" spans="1:7" ht="15" customHeight="1" outlineLevel="2">
      <c r="A43" s="5"/>
      <c r="B43" s="64" t="s">
        <v>129</v>
      </c>
      <c r="C43" s="33"/>
      <c r="D43" s="5" t="s">
        <v>130</v>
      </c>
      <c r="E43" s="69">
        <f>284400+154200+1+71000+14800+13250+57000+354200+69000+156450+266000+303600+22400+22400+328900+100000+34600+41800+506000+12000+13000+531300+100000+45333+45100+133500+11900+177100+9900+36200+50600</f>
        <v>3965934</v>
      </c>
      <c r="F43" s="6"/>
      <c r="G43" s="23"/>
    </row>
    <row r="44" spans="1:7" ht="15" customHeight="1" outlineLevel="2" thickBot="1">
      <c r="A44" s="5"/>
      <c r="B44" s="87" t="s">
        <v>76</v>
      </c>
      <c r="C44" s="33"/>
      <c r="D44" s="61" t="s">
        <v>130</v>
      </c>
      <c r="E44" s="110">
        <f>122000+60000+100000+110000+35000+52500+49000+49000+35000+35000+35000+70000</f>
        <v>752500</v>
      </c>
      <c r="F44" s="100">
        <f>SUM(E43:E44)</f>
        <v>4718434</v>
      </c>
      <c r="G44" s="101"/>
    </row>
    <row r="45" spans="1:7" ht="12" outlineLevel="2">
      <c r="A45" s="5"/>
      <c r="B45" s="88" t="s">
        <v>9</v>
      </c>
      <c r="C45" s="79"/>
      <c r="D45" s="5"/>
      <c r="E45" s="64"/>
      <c r="F45" s="6"/>
      <c r="G45" s="68"/>
    </row>
    <row r="46" spans="1:7" ht="15" customHeight="1" outlineLevel="2">
      <c r="A46" s="5"/>
      <c r="B46" s="85" t="s">
        <v>10</v>
      </c>
      <c r="C46" s="80"/>
      <c r="D46" s="11"/>
      <c r="E46" s="69"/>
      <c r="F46" s="6"/>
      <c r="G46" s="68"/>
    </row>
    <row r="47" spans="1:7" ht="14.25" customHeight="1" outlineLevel="2">
      <c r="A47" s="5"/>
      <c r="B47" s="64" t="s">
        <v>101</v>
      </c>
      <c r="C47" s="80"/>
      <c r="D47" s="5" t="s">
        <v>208</v>
      </c>
      <c r="E47" s="69">
        <v>8000</v>
      </c>
      <c r="F47" s="6"/>
      <c r="G47" s="68"/>
    </row>
    <row r="48" spans="1:7" ht="14.25" customHeight="1" outlineLevel="2">
      <c r="A48" s="5"/>
      <c r="B48" s="64" t="s">
        <v>99</v>
      </c>
      <c r="C48" s="80"/>
      <c r="D48" s="5" t="s">
        <v>171</v>
      </c>
      <c r="E48" s="69">
        <v>112265</v>
      </c>
      <c r="F48" s="6"/>
      <c r="G48" s="68"/>
    </row>
    <row r="49" spans="1:7" ht="14.25" customHeight="1" outlineLevel="2">
      <c r="A49" s="5"/>
      <c r="B49" s="64" t="s">
        <v>106</v>
      </c>
      <c r="C49" s="80"/>
      <c r="D49" s="5" t="s">
        <v>125</v>
      </c>
      <c r="E49" s="69">
        <f>28830+15308+7990</f>
        <v>52128</v>
      </c>
      <c r="F49" s="6"/>
      <c r="G49" s="68"/>
    </row>
    <row r="50" spans="1:7" ht="14.25" customHeight="1" outlineLevel="2">
      <c r="A50" s="5"/>
      <c r="B50" s="64" t="s">
        <v>136</v>
      </c>
      <c r="C50" s="80"/>
      <c r="D50" s="5" t="s">
        <v>137</v>
      </c>
      <c r="E50" s="69">
        <v>40000</v>
      </c>
      <c r="F50" s="6"/>
      <c r="G50" s="68"/>
    </row>
    <row r="51" spans="1:7" ht="14.25" customHeight="1" outlineLevel="2">
      <c r="A51" s="5"/>
      <c r="B51" s="64" t="s">
        <v>55</v>
      </c>
      <c r="C51" s="80"/>
      <c r="D51" s="5" t="s">
        <v>150</v>
      </c>
      <c r="E51" s="69">
        <v>47970</v>
      </c>
      <c r="F51" s="6"/>
      <c r="G51" s="68"/>
    </row>
    <row r="52" spans="1:7" ht="14.25" customHeight="1" outlineLevel="2">
      <c r="A52" s="5"/>
      <c r="B52" s="64" t="s">
        <v>153</v>
      </c>
      <c r="C52" s="80"/>
      <c r="D52" s="5" t="s">
        <v>154</v>
      </c>
      <c r="E52" s="69">
        <v>109201</v>
      </c>
      <c r="F52" s="6"/>
      <c r="G52" s="68"/>
    </row>
    <row r="53" spans="1:7" ht="14.25" customHeight="1" outlineLevel="2">
      <c r="A53" s="5"/>
      <c r="B53" s="64" t="s">
        <v>164</v>
      </c>
      <c r="C53" s="80"/>
      <c r="D53" s="5" t="s">
        <v>210</v>
      </c>
      <c r="E53" s="69">
        <f>51244+50989</f>
        <v>102233</v>
      </c>
      <c r="F53" s="6"/>
      <c r="G53" s="68"/>
    </row>
    <row r="54" spans="1:7" ht="14.25" customHeight="1" outlineLevel="2">
      <c r="A54" s="5"/>
      <c r="B54" s="64" t="s">
        <v>98</v>
      </c>
      <c r="C54" s="80"/>
      <c r="D54" s="5" t="s">
        <v>185</v>
      </c>
      <c r="E54" s="69">
        <v>2000</v>
      </c>
      <c r="F54" s="6"/>
      <c r="G54" s="68"/>
    </row>
    <row r="55" spans="1:7" ht="14.25" customHeight="1" outlineLevel="2">
      <c r="A55" s="5"/>
      <c r="B55" s="64" t="s">
        <v>158</v>
      </c>
      <c r="C55" s="80"/>
      <c r="D55" s="5" t="s">
        <v>189</v>
      </c>
      <c r="E55" s="69">
        <v>264960</v>
      </c>
      <c r="F55" s="6"/>
      <c r="G55" s="68"/>
    </row>
    <row r="56" spans="1:7" ht="14.25" customHeight="1" outlineLevel="2">
      <c r="A56" s="5"/>
      <c r="B56" s="64" t="s">
        <v>58</v>
      </c>
      <c r="C56" s="80"/>
      <c r="D56" s="5" t="s">
        <v>103</v>
      </c>
      <c r="E56" s="69">
        <v>3995</v>
      </c>
      <c r="F56" s="6"/>
      <c r="G56" s="68"/>
    </row>
    <row r="57" spans="1:7" ht="14.25" customHeight="1" outlineLevel="2">
      <c r="A57" s="5"/>
      <c r="B57" s="64" t="s">
        <v>67</v>
      </c>
      <c r="C57" s="80"/>
      <c r="D57" s="5" t="s">
        <v>103</v>
      </c>
      <c r="E57" s="69">
        <f>31394</f>
        <v>31394</v>
      </c>
      <c r="F57" s="6"/>
      <c r="G57" s="68"/>
    </row>
    <row r="58" spans="1:7" ht="14.25" customHeight="1" outlineLevel="2">
      <c r="A58" s="5"/>
      <c r="B58" s="64" t="s">
        <v>67</v>
      </c>
      <c r="C58" s="80"/>
      <c r="D58" s="5" t="s">
        <v>105</v>
      </c>
      <c r="E58" s="69">
        <v>4995</v>
      </c>
      <c r="F58" s="6"/>
      <c r="G58" s="68"/>
    </row>
    <row r="59" spans="1:7" ht="14.25" customHeight="1" outlineLevel="2">
      <c r="A59" s="5"/>
      <c r="B59" s="64" t="s">
        <v>100</v>
      </c>
      <c r="C59" s="80"/>
      <c r="D59" s="5" t="s">
        <v>104</v>
      </c>
      <c r="E59" s="69">
        <f>739004+14000+1620123</f>
        <v>2373127</v>
      </c>
      <c r="F59" s="6"/>
      <c r="G59" s="68"/>
    </row>
    <row r="60" spans="1:7" ht="14.25" customHeight="1" outlineLevel="2">
      <c r="A60" s="5"/>
      <c r="B60" s="64" t="s">
        <v>72</v>
      </c>
      <c r="C60" s="80"/>
      <c r="D60" s="5" t="s">
        <v>104</v>
      </c>
      <c r="E60" s="69">
        <f>1584666+144452+231503+5000000+5000000+1803988+54071</f>
        <v>13818680</v>
      </c>
      <c r="F60" s="6"/>
      <c r="G60" s="68"/>
    </row>
    <row r="61" spans="1:7" ht="14.25" customHeight="1" outlineLevel="2">
      <c r="A61" s="5"/>
      <c r="B61" s="64" t="s">
        <v>162</v>
      </c>
      <c r="C61" s="80"/>
      <c r="D61" s="5" t="s">
        <v>163</v>
      </c>
      <c r="E61" s="69">
        <v>183346</v>
      </c>
      <c r="F61" s="6"/>
      <c r="G61" s="68"/>
    </row>
    <row r="62" spans="1:7" ht="15" customHeight="1" outlineLevel="2">
      <c r="A62" s="5"/>
      <c r="B62" s="64" t="s">
        <v>61</v>
      </c>
      <c r="C62" s="80"/>
      <c r="D62" s="5" t="s">
        <v>120</v>
      </c>
      <c r="E62" s="69">
        <f>113251</f>
        <v>113251</v>
      </c>
      <c r="F62" s="6"/>
      <c r="G62" s="68"/>
    </row>
    <row r="63" spans="1:7" ht="15" customHeight="1" outlineLevel="2">
      <c r="A63" s="5"/>
      <c r="B63" s="64" t="s">
        <v>68</v>
      </c>
      <c r="C63" s="80"/>
      <c r="D63" s="5" t="s">
        <v>114</v>
      </c>
      <c r="E63" s="69">
        <v>38645</v>
      </c>
      <c r="F63" s="6"/>
      <c r="G63" s="68"/>
    </row>
    <row r="64" spans="1:7" ht="15" customHeight="1" outlineLevel="2">
      <c r="A64" s="5"/>
      <c r="B64" s="64" t="s">
        <v>22</v>
      </c>
      <c r="C64" s="80"/>
      <c r="D64" s="5" t="s">
        <v>79</v>
      </c>
      <c r="E64" s="69">
        <v>43430</v>
      </c>
      <c r="F64" s="6"/>
      <c r="G64" s="68"/>
    </row>
    <row r="65" spans="1:7" ht="15" customHeight="1" outlineLevel="2">
      <c r="A65" s="5"/>
      <c r="B65" s="64" t="s">
        <v>22</v>
      </c>
      <c r="C65" s="80"/>
      <c r="D65" s="5" t="s">
        <v>115</v>
      </c>
      <c r="E65" s="77">
        <f>31497+69014</f>
        <v>100511</v>
      </c>
      <c r="F65" s="6"/>
      <c r="G65" s="68">
        <f>SUM(E47:E65)</f>
        <v>17450131</v>
      </c>
    </row>
    <row r="66" spans="1:7" ht="15" customHeight="1" outlineLevel="2">
      <c r="A66" s="5"/>
      <c r="B66" s="64"/>
      <c r="C66" s="80"/>
      <c r="D66" s="5"/>
      <c r="E66" s="77"/>
      <c r="F66" s="6"/>
      <c r="G66" s="68"/>
    </row>
    <row r="67" spans="1:7" ht="15" customHeight="1" outlineLevel="2">
      <c r="A67" s="5"/>
      <c r="B67" s="85" t="s">
        <v>8</v>
      </c>
      <c r="C67" s="80"/>
      <c r="D67" s="11"/>
      <c r="E67" s="69"/>
      <c r="F67" s="6"/>
      <c r="G67" s="68"/>
    </row>
    <row r="68" spans="1:7" s="108" customFormat="1" ht="16.5" customHeight="1" outlineLevel="2">
      <c r="A68" s="103"/>
      <c r="B68" s="104" t="s">
        <v>95</v>
      </c>
      <c r="C68" s="105"/>
      <c r="D68" s="103" t="s">
        <v>211</v>
      </c>
      <c r="E68" s="69">
        <v>125000</v>
      </c>
      <c r="F68" s="106"/>
      <c r="G68" s="107"/>
    </row>
    <row r="69" spans="1:7" s="108" customFormat="1" ht="16.5" customHeight="1" outlineLevel="2">
      <c r="A69" s="103"/>
      <c r="B69" s="104" t="s">
        <v>192</v>
      </c>
      <c r="C69" s="105"/>
      <c r="D69" s="103" t="s">
        <v>193</v>
      </c>
      <c r="E69" s="69">
        <v>58000</v>
      </c>
      <c r="F69" s="106"/>
      <c r="G69" s="107"/>
    </row>
    <row r="70" spans="1:7" s="108" customFormat="1" ht="16.5" customHeight="1" outlineLevel="2">
      <c r="A70" s="103"/>
      <c r="B70" s="104" t="s">
        <v>178</v>
      </c>
      <c r="C70" s="105"/>
      <c r="D70" s="103" t="s">
        <v>179</v>
      </c>
      <c r="E70" s="69">
        <v>75690</v>
      </c>
      <c r="F70" s="106"/>
      <c r="G70" s="107"/>
    </row>
    <row r="71" spans="1:7" s="108" customFormat="1" ht="16.5" customHeight="1" outlineLevel="2">
      <c r="A71" s="103"/>
      <c r="B71" s="104" t="s">
        <v>144</v>
      </c>
      <c r="C71" s="105"/>
      <c r="D71" s="103" t="s">
        <v>145</v>
      </c>
      <c r="E71" s="69">
        <f>205499+135999+162999</f>
        <v>504497</v>
      </c>
      <c r="F71" s="106"/>
      <c r="G71" s="107"/>
    </row>
    <row r="72" spans="1:7" s="108" customFormat="1" ht="16.5" customHeight="1" outlineLevel="2">
      <c r="A72" s="103"/>
      <c r="B72" s="104" t="s">
        <v>111</v>
      </c>
      <c r="C72" s="105"/>
      <c r="D72" s="103" t="s">
        <v>112</v>
      </c>
      <c r="E72" s="69">
        <f>84000+84000+84000+84000</f>
        <v>336000</v>
      </c>
      <c r="F72" s="106"/>
      <c r="G72" s="107"/>
    </row>
    <row r="73" spans="1:7" s="108" customFormat="1" ht="16.5" customHeight="1" outlineLevel="2">
      <c r="A73" s="103"/>
      <c r="B73" s="104" t="s">
        <v>134</v>
      </c>
      <c r="C73" s="105"/>
      <c r="D73" s="103" t="s">
        <v>135</v>
      </c>
      <c r="E73" s="69">
        <v>122000</v>
      </c>
      <c r="F73" s="106"/>
      <c r="G73" s="107"/>
    </row>
    <row r="74" spans="1:7" s="108" customFormat="1" ht="16.5" customHeight="1" outlineLevel="2">
      <c r="A74" s="103"/>
      <c r="B74" s="104" t="s">
        <v>109</v>
      </c>
      <c r="C74" s="105"/>
      <c r="D74" s="103" t="s">
        <v>110</v>
      </c>
      <c r="E74" s="69">
        <f>487245+978675+650737</f>
        <v>2116657</v>
      </c>
      <c r="F74" s="106"/>
      <c r="G74" s="107"/>
    </row>
    <row r="75" spans="1:7" s="108" customFormat="1" ht="16.5" customHeight="1" outlineLevel="2">
      <c r="A75" s="103"/>
      <c r="B75" s="104" t="s">
        <v>93</v>
      </c>
      <c r="C75" s="105"/>
      <c r="D75" s="103" t="s">
        <v>146</v>
      </c>
      <c r="E75" s="69">
        <v>80000</v>
      </c>
      <c r="F75" s="106"/>
      <c r="G75" s="107"/>
    </row>
    <row r="76" spans="1:7" s="108" customFormat="1" ht="16.5" customHeight="1" outlineLevel="2">
      <c r="A76" s="103"/>
      <c r="B76" s="104" t="s">
        <v>152</v>
      </c>
      <c r="C76" s="105"/>
      <c r="D76" s="103" t="s">
        <v>194</v>
      </c>
      <c r="E76" s="69">
        <v>280000</v>
      </c>
      <c r="F76" s="106"/>
      <c r="G76" s="107"/>
    </row>
    <row r="77" spans="1:7" s="108" customFormat="1" ht="16.5" customHeight="1" outlineLevel="2">
      <c r="A77" s="103"/>
      <c r="B77" s="104" t="s">
        <v>67</v>
      </c>
      <c r="C77" s="105"/>
      <c r="D77" s="103" t="s">
        <v>157</v>
      </c>
      <c r="E77" s="69">
        <f>173400+66630</f>
        <v>240030</v>
      </c>
      <c r="F77" s="106"/>
      <c r="G77" s="107"/>
    </row>
    <row r="78" spans="1:7" s="108" customFormat="1" ht="16.5" customHeight="1" outlineLevel="2">
      <c r="A78" s="103"/>
      <c r="B78" s="104" t="s">
        <v>67</v>
      </c>
      <c r="C78" s="105"/>
      <c r="D78" s="103" t="s">
        <v>155</v>
      </c>
      <c r="E78" s="69">
        <f>389189+95396+630209+498109+152258</f>
        <v>1765161</v>
      </c>
      <c r="F78" s="106"/>
      <c r="G78" s="107"/>
    </row>
    <row r="79" spans="1:7" s="108" customFormat="1" ht="16.5" customHeight="1" outlineLevel="2" thickBot="1">
      <c r="A79" s="103"/>
      <c r="B79" s="111" t="s">
        <v>180</v>
      </c>
      <c r="C79" s="105"/>
      <c r="D79" s="111" t="s">
        <v>181</v>
      </c>
      <c r="E79" s="112">
        <v>223125</v>
      </c>
      <c r="F79" s="113"/>
      <c r="G79" s="113"/>
    </row>
    <row r="80" spans="1:7" s="108" customFormat="1" ht="16.5" customHeight="1" outlineLevel="2">
      <c r="A80" s="103"/>
      <c r="B80" s="104" t="s">
        <v>58</v>
      </c>
      <c r="C80" s="105"/>
      <c r="D80" s="103" t="s">
        <v>224</v>
      </c>
      <c r="E80" s="69">
        <v>50800</v>
      </c>
      <c r="F80" s="106"/>
      <c r="G80" s="107"/>
    </row>
    <row r="81" spans="1:7" s="108" customFormat="1" ht="16.5" customHeight="1" outlineLevel="2">
      <c r="A81" s="103"/>
      <c r="B81" s="104" t="s">
        <v>92</v>
      </c>
      <c r="C81" s="105"/>
      <c r="D81" s="103" t="s">
        <v>212</v>
      </c>
      <c r="E81" s="69">
        <v>300000</v>
      </c>
      <c r="F81" s="106"/>
      <c r="G81" s="107"/>
    </row>
    <row r="82" spans="1:7" s="108" customFormat="1" ht="16.5" customHeight="1" outlineLevel="2">
      <c r="A82" s="103"/>
      <c r="B82" s="104" t="s">
        <v>174</v>
      </c>
      <c r="C82" s="105"/>
      <c r="D82" s="103" t="s">
        <v>175</v>
      </c>
      <c r="E82" s="69">
        <v>70000</v>
      </c>
      <c r="F82" s="106"/>
      <c r="G82" s="107"/>
    </row>
    <row r="83" spans="1:7" s="108" customFormat="1" ht="16.5" customHeight="1" outlineLevel="2">
      <c r="A83" s="103"/>
      <c r="B83" s="104" t="s">
        <v>58</v>
      </c>
      <c r="C83" s="105"/>
      <c r="D83" s="103" t="s">
        <v>157</v>
      </c>
      <c r="E83" s="69">
        <f>121800</f>
        <v>121800</v>
      </c>
      <c r="F83" s="106"/>
      <c r="G83" s="107"/>
    </row>
    <row r="84" spans="1:7" s="108" customFormat="1" ht="16.5" customHeight="1" outlineLevel="2">
      <c r="A84" s="103"/>
      <c r="B84" s="104" t="s">
        <v>58</v>
      </c>
      <c r="C84" s="105"/>
      <c r="D84" s="103" t="s">
        <v>184</v>
      </c>
      <c r="E84" s="69">
        <v>62960</v>
      </c>
      <c r="F84" s="106"/>
      <c r="G84" s="107"/>
    </row>
    <row r="85" spans="1:7" s="108" customFormat="1" ht="16.5" customHeight="1" outlineLevel="2">
      <c r="A85" s="103"/>
      <c r="B85" s="104" t="s">
        <v>55</v>
      </c>
      <c r="C85" s="105"/>
      <c r="D85" s="103" t="s">
        <v>141</v>
      </c>
      <c r="E85" s="69">
        <v>12480</v>
      </c>
      <c r="F85" s="106"/>
      <c r="G85" s="107"/>
    </row>
    <row r="86" spans="1:7" s="108" customFormat="1" ht="16.5" customHeight="1" outlineLevel="2">
      <c r="A86" s="103"/>
      <c r="B86" s="104" t="s">
        <v>172</v>
      </c>
      <c r="C86" s="103"/>
      <c r="D86" s="103" t="s">
        <v>173</v>
      </c>
      <c r="E86" s="69">
        <v>111500</v>
      </c>
      <c r="F86" s="106"/>
      <c r="G86" s="107"/>
    </row>
    <row r="87" spans="1:7" s="108" customFormat="1" ht="16.5" customHeight="1" outlineLevel="2">
      <c r="A87" s="103"/>
      <c r="B87" s="104" t="s">
        <v>96</v>
      </c>
      <c r="C87" s="103"/>
      <c r="D87" s="103" t="s">
        <v>177</v>
      </c>
      <c r="E87" s="69">
        <v>122200</v>
      </c>
      <c r="F87" s="106"/>
      <c r="G87" s="107"/>
    </row>
    <row r="88" spans="1:7" s="108" customFormat="1" ht="16.5" customHeight="1" outlineLevel="2">
      <c r="A88" s="103"/>
      <c r="B88" s="104" t="s">
        <v>96</v>
      </c>
      <c r="C88" s="103"/>
      <c r="D88" s="103" t="s">
        <v>182</v>
      </c>
      <c r="E88" s="69">
        <v>27244</v>
      </c>
      <c r="F88" s="106"/>
      <c r="G88" s="107"/>
    </row>
    <row r="89" spans="1:7" s="108" customFormat="1" ht="16.5" customHeight="1" outlineLevel="2">
      <c r="A89" s="103"/>
      <c r="B89" s="104" t="s">
        <v>116</v>
      </c>
      <c r="C89" s="103"/>
      <c r="D89" s="103" t="s">
        <v>117</v>
      </c>
      <c r="E89" s="69">
        <f>146370+195160</f>
        <v>341530</v>
      </c>
      <c r="F89" s="106"/>
      <c r="G89" s="107"/>
    </row>
    <row r="90" spans="1:7" s="108" customFormat="1" ht="16.5" customHeight="1" outlineLevel="2">
      <c r="A90" s="103"/>
      <c r="B90" s="104" t="s">
        <v>165</v>
      </c>
      <c r="C90" s="103"/>
      <c r="D90" s="103" t="s">
        <v>166</v>
      </c>
      <c r="E90" s="69">
        <f>294000</f>
        <v>294000</v>
      </c>
      <c r="F90" s="106"/>
      <c r="G90" s="107"/>
    </row>
    <row r="91" spans="1:7" s="108" customFormat="1" ht="16.5" customHeight="1" outlineLevel="2">
      <c r="A91" s="103"/>
      <c r="B91" s="104" t="s">
        <v>195</v>
      </c>
      <c r="C91" s="103"/>
      <c r="D91" s="103" t="s">
        <v>196</v>
      </c>
      <c r="E91" s="69">
        <v>275000</v>
      </c>
      <c r="F91" s="106"/>
      <c r="G91" s="107"/>
    </row>
    <row r="92" spans="1:7" s="108" customFormat="1" ht="16.5" customHeight="1" outlineLevel="2">
      <c r="A92" s="103"/>
      <c r="B92" s="104" t="s">
        <v>190</v>
      </c>
      <c r="C92" s="103"/>
      <c r="D92" s="103" t="s">
        <v>191</v>
      </c>
      <c r="E92" s="69">
        <v>156000</v>
      </c>
      <c r="F92" s="106"/>
      <c r="G92" s="107"/>
    </row>
    <row r="93" spans="1:7" s="108" customFormat="1" ht="16.5" customHeight="1" outlineLevel="2">
      <c r="A93" s="103"/>
      <c r="B93" s="104" t="s">
        <v>167</v>
      </c>
      <c r="C93" s="103"/>
      <c r="D93" s="103" t="s">
        <v>168</v>
      </c>
      <c r="E93" s="69">
        <f>169250+187500+83900+245301</f>
        <v>685951</v>
      </c>
      <c r="F93" s="106"/>
      <c r="G93" s="107"/>
    </row>
    <row r="94" spans="1:7" s="108" customFormat="1" ht="16.5" customHeight="1" outlineLevel="2">
      <c r="A94" s="103"/>
      <c r="B94" s="109" t="s">
        <v>93</v>
      </c>
      <c r="C94" s="103"/>
      <c r="D94" s="118" t="s">
        <v>139</v>
      </c>
      <c r="E94" s="69">
        <v>132500</v>
      </c>
      <c r="F94" s="106"/>
      <c r="G94" s="107"/>
    </row>
    <row r="95" spans="1:7" s="108" customFormat="1" ht="16.5" customHeight="1" outlineLevel="2">
      <c r="A95" s="103"/>
      <c r="B95" s="109" t="s">
        <v>93</v>
      </c>
      <c r="C95" s="103"/>
      <c r="D95" s="118" t="s">
        <v>183</v>
      </c>
      <c r="E95" s="69">
        <v>73350</v>
      </c>
      <c r="F95" s="106"/>
      <c r="G95" s="107"/>
    </row>
    <row r="96" spans="1:7" ht="15" customHeight="1" outlineLevel="2">
      <c r="A96" s="5"/>
      <c r="B96" s="109" t="s">
        <v>93</v>
      </c>
      <c r="C96" s="5"/>
      <c r="D96" s="118" t="s">
        <v>138</v>
      </c>
      <c r="E96" s="69">
        <f>25000+25000</f>
        <v>50000</v>
      </c>
      <c r="F96" s="106"/>
      <c r="G96" s="107"/>
    </row>
    <row r="97" spans="1:7" ht="15" customHeight="1" outlineLevel="2">
      <c r="A97" s="5"/>
      <c r="B97" s="109" t="s">
        <v>67</v>
      </c>
      <c r="C97" s="5"/>
      <c r="D97" s="118" t="s">
        <v>206</v>
      </c>
      <c r="E97" s="69">
        <v>67757</v>
      </c>
      <c r="F97" s="106"/>
      <c r="G97" s="107"/>
    </row>
    <row r="98" spans="1:7" ht="15" customHeight="1" outlineLevel="2">
      <c r="A98" s="5"/>
      <c r="B98" s="109" t="s">
        <v>67</v>
      </c>
      <c r="C98" s="5"/>
      <c r="D98" s="118" t="s">
        <v>151</v>
      </c>
      <c r="E98" s="69">
        <v>23000</v>
      </c>
      <c r="F98" s="106"/>
      <c r="G98" s="107"/>
    </row>
    <row r="99" spans="1:7" ht="15" customHeight="1" outlineLevel="2">
      <c r="A99" s="5"/>
      <c r="B99" s="109" t="s">
        <v>67</v>
      </c>
      <c r="C99" s="5"/>
      <c r="D99" s="118" t="s">
        <v>108</v>
      </c>
      <c r="E99" s="69">
        <f>25980+90000</f>
        <v>115980</v>
      </c>
      <c r="F99" s="106"/>
      <c r="G99" s="107"/>
    </row>
    <row r="100" spans="1:7" ht="15" customHeight="1" outlineLevel="2">
      <c r="A100" s="5"/>
      <c r="B100" s="64" t="s">
        <v>78</v>
      </c>
      <c r="C100" s="5"/>
      <c r="D100" s="103" t="s">
        <v>107</v>
      </c>
      <c r="E100" s="69">
        <v>280000</v>
      </c>
      <c r="F100" s="106"/>
      <c r="G100" s="107"/>
    </row>
    <row r="101" spans="1:7" ht="15" customHeight="1" outlineLevel="2">
      <c r="A101" s="5"/>
      <c r="B101" s="64" t="s">
        <v>197</v>
      </c>
      <c r="C101" s="5"/>
      <c r="D101" s="5" t="s">
        <v>198</v>
      </c>
      <c r="E101" s="69">
        <v>180000</v>
      </c>
      <c r="F101" s="106"/>
      <c r="G101" s="107"/>
    </row>
    <row r="102" spans="1:7" ht="15" customHeight="1" outlineLevel="2">
      <c r="A102" s="5"/>
      <c r="B102" s="64" t="s">
        <v>75</v>
      </c>
      <c r="C102" s="80"/>
      <c r="D102" s="5" t="s">
        <v>113</v>
      </c>
      <c r="E102" s="69">
        <v>334660</v>
      </c>
      <c r="F102" s="6"/>
      <c r="G102" s="107"/>
    </row>
    <row r="103" spans="1:7" ht="15" customHeight="1" outlineLevel="2">
      <c r="A103" s="5"/>
      <c r="B103" s="64" t="s">
        <v>53</v>
      </c>
      <c r="C103" s="80"/>
      <c r="D103" s="5" t="s">
        <v>119</v>
      </c>
      <c r="E103" s="77">
        <f>15600+1700</f>
        <v>17300</v>
      </c>
      <c r="F103" s="6"/>
      <c r="G103" s="68">
        <f>SUM(E68:E103)</f>
        <v>9832172</v>
      </c>
    </row>
    <row r="104" spans="1:7" ht="15" customHeight="1" outlineLevel="2">
      <c r="A104" s="5"/>
      <c r="B104" s="64"/>
      <c r="C104" s="80"/>
      <c r="D104" s="5"/>
      <c r="E104" s="77"/>
      <c r="F104" s="6"/>
      <c r="G104" s="107"/>
    </row>
    <row r="105" spans="1:7" ht="15" customHeight="1" outlineLevel="2">
      <c r="A105" s="5"/>
      <c r="B105" s="85" t="s">
        <v>17</v>
      </c>
      <c r="C105" s="80"/>
      <c r="D105" s="5"/>
      <c r="E105" s="69"/>
      <c r="F105" s="6"/>
      <c r="G105" s="68"/>
    </row>
    <row r="106" spans="1:7" ht="15" customHeight="1" outlineLevel="2">
      <c r="A106" s="5"/>
      <c r="B106" s="64" t="s">
        <v>21</v>
      </c>
      <c r="C106" s="80"/>
      <c r="D106" s="5" t="s">
        <v>161</v>
      </c>
      <c r="E106" s="69">
        <v>1171149</v>
      </c>
      <c r="F106" s="6"/>
      <c r="G106" s="68"/>
    </row>
    <row r="107" spans="1:7" ht="15" customHeight="1" outlineLevel="2">
      <c r="A107" s="5"/>
      <c r="B107" s="64" t="s">
        <v>202</v>
      </c>
      <c r="C107" s="80"/>
      <c r="D107" s="5" t="s">
        <v>203</v>
      </c>
      <c r="E107" s="77">
        <v>305479</v>
      </c>
      <c r="F107" s="6"/>
      <c r="G107" s="68">
        <f>SUM(E106:E107)</f>
        <v>1476628</v>
      </c>
    </row>
    <row r="108" spans="1:7" ht="15" customHeight="1" outlineLevel="2">
      <c r="A108" s="5"/>
      <c r="B108" s="64"/>
      <c r="C108" s="80"/>
      <c r="D108" s="5"/>
      <c r="E108" s="77"/>
      <c r="F108" s="6"/>
      <c r="G108" s="68"/>
    </row>
    <row r="109" spans="1:7" ht="15" customHeight="1" outlineLevel="2">
      <c r="A109" s="5"/>
      <c r="B109" s="85" t="s">
        <v>102</v>
      </c>
      <c r="C109" s="80"/>
      <c r="D109" s="5"/>
      <c r="E109" s="77"/>
      <c r="F109" s="6"/>
      <c r="G109" s="68"/>
    </row>
    <row r="110" spans="1:7" ht="15" customHeight="1" outlineLevel="2">
      <c r="A110" s="5"/>
      <c r="B110" s="64" t="s">
        <v>58</v>
      </c>
      <c r="C110" s="80"/>
      <c r="D110" s="5" t="s">
        <v>126</v>
      </c>
      <c r="E110" s="69">
        <f>150000+150000</f>
        <v>300000</v>
      </c>
      <c r="F110" s="6"/>
      <c r="G110" s="68"/>
    </row>
    <row r="111" spans="1:7" ht="15" customHeight="1" outlineLevel="2">
      <c r="A111" s="5"/>
      <c r="B111" s="64" t="s">
        <v>67</v>
      </c>
      <c r="C111" s="80"/>
      <c r="D111" s="5" t="s">
        <v>126</v>
      </c>
      <c r="E111" s="77">
        <f>150000+100000</f>
        <v>250000</v>
      </c>
      <c r="F111" s="6"/>
      <c r="G111" s="68">
        <f>SUM(E110:E111)</f>
        <v>550000</v>
      </c>
    </row>
    <row r="112" spans="1:7" ht="15" customHeight="1" outlineLevel="2">
      <c r="A112" s="5"/>
      <c r="B112" s="64"/>
      <c r="C112" s="80"/>
      <c r="D112" s="5"/>
      <c r="E112" s="77"/>
      <c r="F112" s="6"/>
      <c r="G112" s="68"/>
    </row>
    <row r="113" spans="1:7" ht="15" customHeight="1" outlineLevel="2" thickBot="1">
      <c r="A113" s="5"/>
      <c r="B113" s="114"/>
      <c r="C113" s="80"/>
      <c r="D113" s="114"/>
      <c r="E113" s="115"/>
      <c r="F113" s="116"/>
      <c r="G113" s="116"/>
    </row>
    <row r="114" spans="1:7" ht="15" customHeight="1" outlineLevel="2">
      <c r="A114" s="5"/>
      <c r="B114" s="85" t="s">
        <v>118</v>
      </c>
      <c r="C114" s="80"/>
      <c r="D114" s="5"/>
      <c r="E114" s="77"/>
      <c r="F114" s="6"/>
      <c r="G114" s="68"/>
    </row>
    <row r="115" spans="1:7" ht="15" customHeight="1" outlineLevel="2">
      <c r="A115" s="5"/>
      <c r="B115" s="64" t="s">
        <v>55</v>
      </c>
      <c r="C115" s="80"/>
      <c r="D115" s="5" t="s">
        <v>199</v>
      </c>
      <c r="E115" s="69">
        <v>200000</v>
      </c>
      <c r="F115" s="6"/>
      <c r="G115" s="68"/>
    </row>
    <row r="116" spans="1:7" ht="15" customHeight="1" outlineLevel="2">
      <c r="A116" s="5"/>
      <c r="B116" s="64" t="s">
        <v>85</v>
      </c>
      <c r="C116" s="80"/>
      <c r="D116" s="5" t="s">
        <v>209</v>
      </c>
      <c r="E116" s="77">
        <f>1149425+1139601</f>
        <v>2289026</v>
      </c>
      <c r="F116" s="6"/>
      <c r="G116" s="68">
        <f>SUM(E115:E116)</f>
        <v>2489026</v>
      </c>
    </row>
    <row r="117" spans="1:7" ht="14.25" customHeight="1" outlineLevel="2">
      <c r="A117" s="5"/>
      <c r="B117" s="64"/>
      <c r="C117" s="80"/>
      <c r="D117" s="5"/>
      <c r="E117" s="77"/>
      <c r="F117" s="6"/>
      <c r="G117" s="68"/>
    </row>
    <row r="118" spans="1:7" ht="15" customHeight="1" outlineLevel="2">
      <c r="A118" s="5"/>
      <c r="B118" s="85" t="s">
        <v>52</v>
      </c>
      <c r="C118" s="80"/>
      <c r="D118" s="77"/>
      <c r="E118" s="77"/>
      <c r="F118" s="68"/>
      <c r="G118" s="68"/>
    </row>
    <row r="119" spans="1:7" ht="15" customHeight="1" outlineLevel="2">
      <c r="A119" s="5"/>
      <c r="B119" s="64" t="s">
        <v>60</v>
      </c>
      <c r="C119" s="80"/>
      <c r="D119" s="5" t="s">
        <v>142</v>
      </c>
      <c r="E119" s="77">
        <v>1000000</v>
      </c>
      <c r="F119" s="6"/>
      <c r="G119" s="68">
        <f>SUM(E119:F119)</f>
        <v>1000000</v>
      </c>
    </row>
    <row r="120" spans="1:7" ht="14.25" customHeight="1" outlineLevel="2">
      <c r="A120" s="5"/>
      <c r="B120" s="64"/>
      <c r="C120" s="80"/>
      <c r="D120" s="5"/>
      <c r="E120" s="77"/>
      <c r="F120" s="6"/>
      <c r="G120" s="68"/>
    </row>
    <row r="121" spans="1:7" ht="15" customHeight="1" outlineLevel="2">
      <c r="A121" s="5"/>
      <c r="B121" s="85" t="s">
        <v>18</v>
      </c>
      <c r="C121" s="80"/>
      <c r="D121" s="5"/>
      <c r="E121" s="69"/>
      <c r="F121" s="6"/>
      <c r="G121" s="68"/>
    </row>
    <row r="122" spans="1:7" ht="15" customHeight="1" outlineLevel="2">
      <c r="A122" s="5"/>
      <c r="B122" s="64" t="s">
        <v>96</v>
      </c>
      <c r="C122" s="80"/>
      <c r="D122" s="5" t="s">
        <v>207</v>
      </c>
      <c r="E122" s="69">
        <v>72000</v>
      </c>
      <c r="F122" s="6"/>
      <c r="G122" s="68"/>
    </row>
    <row r="123" spans="1:7" ht="15" customHeight="1" outlineLevel="2">
      <c r="A123" s="5"/>
      <c r="B123" s="64" t="s">
        <v>158</v>
      </c>
      <c r="C123" s="80"/>
      <c r="D123" s="5" t="s">
        <v>159</v>
      </c>
      <c r="E123" s="69">
        <f>146900+25600</f>
        <v>172500</v>
      </c>
      <c r="F123" s="6"/>
      <c r="G123" s="68"/>
    </row>
    <row r="124" spans="1:7" ht="15" customHeight="1" outlineLevel="2">
      <c r="A124" s="5"/>
      <c r="B124" s="64" t="s">
        <v>187</v>
      </c>
      <c r="C124" s="80"/>
      <c r="D124" s="5" t="s">
        <v>188</v>
      </c>
      <c r="E124" s="69">
        <v>226300</v>
      </c>
      <c r="F124" s="6"/>
      <c r="G124" s="68"/>
    </row>
    <row r="125" spans="1:7" ht="15" customHeight="1" outlineLevel="2">
      <c r="A125" s="5"/>
      <c r="B125" s="64" t="s">
        <v>86</v>
      </c>
      <c r="C125" s="80"/>
      <c r="D125" s="5" t="s">
        <v>204</v>
      </c>
      <c r="E125" s="69">
        <v>58000</v>
      </c>
      <c r="F125" s="6"/>
      <c r="G125" s="68"/>
    </row>
    <row r="126" spans="1:7" ht="15" customHeight="1" outlineLevel="2">
      <c r="A126" s="5"/>
      <c r="B126" s="64" t="s">
        <v>84</v>
      </c>
      <c r="C126" s="80"/>
      <c r="D126" s="5" t="s">
        <v>213</v>
      </c>
      <c r="E126" s="69">
        <v>148850</v>
      </c>
      <c r="F126" s="6"/>
      <c r="G126" s="68"/>
    </row>
    <row r="127" spans="1:7" ht="15" customHeight="1" outlineLevel="2">
      <c r="A127" s="5"/>
      <c r="B127" s="64" t="s">
        <v>82</v>
      </c>
      <c r="C127" s="80"/>
      <c r="D127" s="5" t="s">
        <v>140</v>
      </c>
      <c r="E127" s="69">
        <f>104123+142706+48000</f>
        <v>294829</v>
      </c>
      <c r="F127" s="6"/>
      <c r="G127" s="68"/>
    </row>
    <row r="128" spans="1:7" ht="15" customHeight="1" outlineLevel="2">
      <c r="A128" s="5"/>
      <c r="B128" s="64" t="s">
        <v>82</v>
      </c>
      <c r="C128" s="80"/>
      <c r="D128" s="5" t="s">
        <v>143</v>
      </c>
      <c r="E128" s="69">
        <f>181648+188648+64746</f>
        <v>435042</v>
      </c>
      <c r="F128" s="6"/>
      <c r="G128" s="68"/>
    </row>
    <row r="129" spans="1:7" ht="15" customHeight="1" outlineLevel="2">
      <c r="A129" s="5"/>
      <c r="B129" s="64" t="s">
        <v>82</v>
      </c>
      <c r="C129" s="80"/>
      <c r="D129" s="5" t="s">
        <v>149</v>
      </c>
      <c r="E129" s="69">
        <f>153406+104123+48000</f>
        <v>305529</v>
      </c>
      <c r="F129" s="6"/>
      <c r="G129" s="68"/>
    </row>
    <row r="130" spans="1:7" ht="15" customHeight="1" outlineLevel="2">
      <c r="A130" s="5"/>
      <c r="B130" s="65" t="s">
        <v>19</v>
      </c>
      <c r="C130" s="80"/>
      <c r="D130" s="5"/>
      <c r="E130" s="69"/>
      <c r="F130" s="6"/>
      <c r="G130" s="68"/>
    </row>
    <row r="131" spans="1:7" s="108" customFormat="1" ht="16.5" customHeight="1" outlineLevel="2">
      <c r="A131" s="103"/>
      <c r="B131" s="104" t="s">
        <v>169</v>
      </c>
      <c r="C131" s="105"/>
      <c r="D131" s="103" t="s">
        <v>170</v>
      </c>
      <c r="E131" s="69">
        <v>161000</v>
      </c>
      <c r="F131" s="106"/>
      <c r="G131" s="107"/>
    </row>
    <row r="132" spans="1:7" s="108" customFormat="1" ht="16.5" customHeight="1" outlineLevel="2">
      <c r="A132" s="103"/>
      <c r="B132" s="104" t="s">
        <v>55</v>
      </c>
      <c r="C132" s="105"/>
      <c r="D132" s="103" t="s">
        <v>176</v>
      </c>
      <c r="E132" s="69">
        <v>83630</v>
      </c>
      <c r="F132" s="106"/>
      <c r="G132" s="107"/>
    </row>
    <row r="133" spans="1:7" s="108" customFormat="1" ht="16.5" customHeight="1" outlineLevel="2">
      <c r="A133" s="103"/>
      <c r="B133" s="104" t="s">
        <v>73</v>
      </c>
      <c r="C133" s="105"/>
      <c r="D133" s="103" t="s">
        <v>186</v>
      </c>
      <c r="E133" s="77">
        <v>830924</v>
      </c>
      <c r="F133" s="106"/>
      <c r="G133" s="68">
        <f>SUM(E122:E133)</f>
        <v>2788604</v>
      </c>
    </row>
    <row r="134" spans="1:7" ht="15" customHeight="1" outlineLevel="2" thickBot="1">
      <c r="A134" s="5"/>
      <c r="B134" s="64"/>
      <c r="C134" s="102"/>
      <c r="D134" s="64"/>
      <c r="E134" s="77"/>
      <c r="F134" s="68"/>
      <c r="G134" s="68"/>
    </row>
    <row r="135" spans="1:7" ht="15.75" customHeight="1" outlineLevel="2">
      <c r="A135" s="5"/>
      <c r="B135" s="85" t="s">
        <v>6</v>
      </c>
      <c r="C135" s="80"/>
      <c r="D135" s="5"/>
      <c r="E135" s="77"/>
      <c r="F135" s="6"/>
      <c r="G135" s="68"/>
    </row>
    <row r="136" spans="2:7" s="5" customFormat="1" ht="15" customHeight="1" outlineLevel="2">
      <c r="B136" s="104" t="s">
        <v>200</v>
      </c>
      <c r="C136" s="105"/>
      <c r="D136" s="103" t="s">
        <v>201</v>
      </c>
      <c r="E136" s="69">
        <v>42500</v>
      </c>
      <c r="F136" s="8"/>
      <c r="G136" s="69"/>
    </row>
    <row r="137" spans="2:7" s="5" customFormat="1" ht="15" customHeight="1" outlineLevel="2">
      <c r="B137" s="64" t="s">
        <v>147</v>
      </c>
      <c r="C137" s="80"/>
      <c r="D137" s="5" t="s">
        <v>148</v>
      </c>
      <c r="E137" s="69">
        <v>97580</v>
      </c>
      <c r="F137" s="8"/>
      <c r="G137" s="69"/>
    </row>
    <row r="138" spans="2:7" s="5" customFormat="1" ht="15" customHeight="1" outlineLevel="2">
      <c r="B138" s="64" t="s">
        <v>55</v>
      </c>
      <c r="C138" s="80"/>
      <c r="D138" s="5" t="s">
        <v>156</v>
      </c>
      <c r="E138" s="69">
        <v>35480</v>
      </c>
      <c r="F138" s="8"/>
      <c r="G138" s="69"/>
    </row>
    <row r="139" spans="2:7" s="5" customFormat="1" ht="15" customHeight="1" outlineLevel="2">
      <c r="B139" s="64" t="s">
        <v>55</v>
      </c>
      <c r="C139" s="80"/>
      <c r="D139" s="5" t="s">
        <v>122</v>
      </c>
      <c r="E139" s="69">
        <v>16960</v>
      </c>
      <c r="F139" s="8"/>
      <c r="G139" s="69"/>
    </row>
    <row r="140" spans="2:7" s="5" customFormat="1" ht="15" customHeight="1" outlineLevel="2">
      <c r="B140" s="64" t="s">
        <v>73</v>
      </c>
      <c r="C140" s="80"/>
      <c r="D140" s="5" t="s">
        <v>127</v>
      </c>
      <c r="E140" s="69">
        <v>142059</v>
      </c>
      <c r="F140" s="8"/>
      <c r="G140" s="69"/>
    </row>
    <row r="141" spans="1:7" ht="15" customHeight="1" outlineLevel="2">
      <c r="A141" s="5"/>
      <c r="B141" s="64" t="s">
        <v>71</v>
      </c>
      <c r="C141" s="80"/>
      <c r="D141" s="5" t="s">
        <v>123</v>
      </c>
      <c r="E141" s="77">
        <v>203740</v>
      </c>
      <c r="F141" s="6"/>
      <c r="G141" s="68">
        <f>SUM(E136:E141)</f>
        <v>538319</v>
      </c>
    </row>
    <row r="142" spans="1:7" ht="15" customHeight="1" outlineLevel="2" thickBot="1">
      <c r="A142" s="5"/>
      <c r="B142" s="64"/>
      <c r="C142" s="102"/>
      <c r="D142" s="64"/>
      <c r="E142" s="77"/>
      <c r="F142" s="68"/>
      <c r="G142" s="68"/>
    </row>
    <row r="143" spans="1:7" ht="15" customHeight="1" outlineLevel="2">
      <c r="A143" s="5"/>
      <c r="B143" s="85" t="s">
        <v>80</v>
      </c>
      <c r="C143" s="80"/>
      <c r="D143" s="5"/>
      <c r="E143" s="77"/>
      <c r="F143" s="6"/>
      <c r="G143" s="68"/>
    </row>
    <row r="144" spans="2:7" s="5" customFormat="1" ht="15" customHeight="1" outlineLevel="2">
      <c r="B144" s="64" t="s">
        <v>61</v>
      </c>
      <c r="C144" s="80"/>
      <c r="D144" s="5" t="s">
        <v>124</v>
      </c>
      <c r="E144" s="69">
        <v>97265</v>
      </c>
      <c r="F144" s="8"/>
      <c r="G144" s="69"/>
    </row>
    <row r="145" spans="2:7" s="5" customFormat="1" ht="16.5" customHeight="1" outlineLevel="2">
      <c r="B145" s="64" t="s">
        <v>68</v>
      </c>
      <c r="C145" s="80"/>
      <c r="D145" s="5" t="s">
        <v>121</v>
      </c>
      <c r="E145" s="69">
        <v>15270</v>
      </c>
      <c r="F145" s="8"/>
      <c r="G145" s="69"/>
    </row>
    <row r="146" spans="1:7" ht="15" customHeight="1" outlineLevel="2">
      <c r="A146" s="5"/>
      <c r="B146" s="64" t="s">
        <v>83</v>
      </c>
      <c r="C146" s="80"/>
      <c r="D146" s="5" t="s">
        <v>128</v>
      </c>
      <c r="E146" s="77">
        <v>176955</v>
      </c>
      <c r="F146" s="6"/>
      <c r="G146" s="68">
        <f>SUM(E144:E146)</f>
        <v>289490</v>
      </c>
    </row>
    <row r="147" spans="1:7" ht="15" customHeight="1" outlineLevel="2" thickBot="1">
      <c r="A147" s="5"/>
      <c r="B147" s="64"/>
      <c r="C147" s="102"/>
      <c r="D147" s="64"/>
      <c r="E147" s="77"/>
      <c r="F147" s="68"/>
      <c r="G147" s="68"/>
    </row>
    <row r="148" spans="1:7" ht="15" customHeight="1" outlineLevel="2" thickBot="1">
      <c r="A148" s="5"/>
      <c r="B148" s="114"/>
      <c r="C148" s="117"/>
      <c r="D148" s="59"/>
      <c r="E148" s="115"/>
      <c r="F148" s="67"/>
      <c r="G148" s="116"/>
    </row>
    <row r="149" spans="1:7" ht="15" customHeight="1" outlineLevel="2">
      <c r="A149" s="5"/>
      <c r="B149" s="85" t="s">
        <v>87</v>
      </c>
      <c r="C149" s="80"/>
      <c r="D149" s="5"/>
      <c r="E149" s="77"/>
      <c r="F149" s="6"/>
      <c r="G149" s="68"/>
    </row>
    <row r="150" spans="1:7" ht="15" customHeight="1" outlineLevel="2">
      <c r="A150" s="5"/>
      <c r="B150" s="64" t="s">
        <v>88</v>
      </c>
      <c r="C150" s="80"/>
      <c r="D150" s="5" t="s">
        <v>205</v>
      </c>
      <c r="E150" s="69">
        <v>643280</v>
      </c>
      <c r="F150" s="6"/>
      <c r="G150" s="68"/>
    </row>
    <row r="151" spans="1:7" ht="15" customHeight="1" outlineLevel="2">
      <c r="A151" s="5"/>
      <c r="B151" s="64" t="s">
        <v>89</v>
      </c>
      <c r="C151" s="80"/>
      <c r="D151" s="5" t="s">
        <v>205</v>
      </c>
      <c r="E151" s="69">
        <v>919353</v>
      </c>
      <c r="F151" s="6"/>
      <c r="G151" s="68"/>
    </row>
    <row r="152" spans="1:7" ht="15" customHeight="1" outlineLevel="2">
      <c r="A152" s="5"/>
      <c r="B152" s="64" t="s">
        <v>55</v>
      </c>
      <c r="C152" s="80"/>
      <c r="D152" s="5" t="s">
        <v>205</v>
      </c>
      <c r="E152" s="69">
        <v>789266</v>
      </c>
      <c r="F152" s="6"/>
      <c r="G152" s="68"/>
    </row>
    <row r="153" spans="1:7" ht="15" customHeight="1" outlineLevel="2">
      <c r="A153" s="5"/>
      <c r="B153" s="64" t="s">
        <v>90</v>
      </c>
      <c r="C153" s="80"/>
      <c r="D153" s="5" t="s">
        <v>205</v>
      </c>
      <c r="E153" s="69">
        <v>690805</v>
      </c>
      <c r="F153" s="6"/>
      <c r="G153" s="68"/>
    </row>
    <row r="154" spans="1:7" ht="15" customHeight="1" outlineLevel="2">
      <c r="A154" s="5"/>
      <c r="B154" s="64" t="s">
        <v>91</v>
      </c>
      <c r="C154" s="80"/>
      <c r="D154" s="5" t="s">
        <v>205</v>
      </c>
      <c r="E154" s="69">
        <v>356700</v>
      </c>
      <c r="F154" s="6"/>
      <c r="G154" s="68"/>
    </row>
    <row r="155" spans="1:7" ht="15" customHeight="1" outlineLevel="2">
      <c r="A155" s="5"/>
      <c r="B155" s="64" t="s">
        <v>58</v>
      </c>
      <c r="C155" s="80"/>
      <c r="D155" s="5" t="s">
        <v>205</v>
      </c>
      <c r="E155" s="69">
        <v>929460</v>
      </c>
      <c r="F155" s="6"/>
      <c r="G155" s="68"/>
    </row>
    <row r="156" spans="1:7" ht="15" customHeight="1" outlineLevel="2">
      <c r="A156" s="5"/>
      <c r="B156" s="64" t="s">
        <v>47</v>
      </c>
      <c r="C156" s="80"/>
      <c r="D156" s="5" t="s">
        <v>205</v>
      </c>
      <c r="E156" s="69">
        <v>877659</v>
      </c>
      <c r="F156" s="6"/>
      <c r="G156" s="68"/>
    </row>
    <row r="157" spans="1:7" ht="15" customHeight="1" outlineLevel="2">
      <c r="A157" s="5"/>
      <c r="B157" s="64" t="s">
        <v>67</v>
      </c>
      <c r="C157" s="80"/>
      <c r="D157" s="5" t="s">
        <v>205</v>
      </c>
      <c r="E157" s="69">
        <v>1157325</v>
      </c>
      <c r="F157" s="6"/>
      <c r="G157" s="68"/>
    </row>
    <row r="158" spans="1:7" ht="15" customHeight="1" outlineLevel="2">
      <c r="A158" s="5"/>
      <c r="B158" s="64" t="s">
        <v>94</v>
      </c>
      <c r="C158" s="80"/>
      <c r="D158" s="5" t="s">
        <v>205</v>
      </c>
      <c r="E158" s="77">
        <v>456730</v>
      </c>
      <c r="F158" s="6"/>
      <c r="G158" s="68">
        <f>SUM(E150:E158)</f>
        <v>6820578</v>
      </c>
    </row>
    <row r="159" spans="1:7" ht="15" customHeight="1" outlineLevel="2">
      <c r="A159" s="5"/>
      <c r="B159" s="64"/>
      <c r="C159" s="80"/>
      <c r="D159" s="5"/>
      <c r="E159" s="69"/>
      <c r="F159" s="6"/>
      <c r="G159" s="68"/>
    </row>
    <row r="160" spans="1:7" ht="15" customHeight="1" outlineLevel="2">
      <c r="A160" s="5"/>
      <c r="B160" s="85" t="s">
        <v>11</v>
      </c>
      <c r="C160" s="80"/>
      <c r="D160" s="5"/>
      <c r="E160" s="69"/>
      <c r="F160" s="6"/>
      <c r="G160" s="68"/>
    </row>
    <row r="161" spans="1:7" ht="15" customHeight="1" outlineLevel="2">
      <c r="A161" s="5"/>
      <c r="B161" s="64" t="s">
        <v>12</v>
      </c>
      <c r="C161" s="80"/>
      <c r="D161" s="5" t="s">
        <v>160</v>
      </c>
      <c r="E161" s="69">
        <v>278189</v>
      </c>
      <c r="F161" s="6"/>
      <c r="G161" s="68"/>
    </row>
    <row r="162" spans="1:7" ht="15" customHeight="1" outlineLevel="2">
      <c r="A162" s="5"/>
      <c r="B162" s="64" t="s">
        <v>57</v>
      </c>
      <c r="C162" s="81"/>
      <c r="D162" s="5" t="s">
        <v>160</v>
      </c>
      <c r="E162" s="69">
        <v>84196</v>
      </c>
      <c r="F162" s="6"/>
      <c r="G162" s="68"/>
    </row>
    <row r="163" spans="1:7" ht="15" customHeight="1" outlineLevel="2">
      <c r="A163" s="5"/>
      <c r="B163" s="64" t="s">
        <v>74</v>
      </c>
      <c r="C163" s="81"/>
      <c r="D163" s="5" t="s">
        <v>160</v>
      </c>
      <c r="E163" s="69">
        <v>102875</v>
      </c>
      <c r="F163" s="6"/>
      <c r="G163" s="68"/>
    </row>
    <row r="164" spans="1:7" ht="15" customHeight="1" outlineLevel="2">
      <c r="A164" s="5"/>
      <c r="B164" s="64" t="s">
        <v>69</v>
      </c>
      <c r="C164" s="81"/>
      <c r="D164" s="5" t="s">
        <v>160</v>
      </c>
      <c r="E164" s="69">
        <v>255748</v>
      </c>
      <c r="F164" s="6"/>
      <c r="G164" s="68"/>
    </row>
    <row r="165" spans="1:7" ht="15" customHeight="1" outlineLevel="2">
      <c r="A165" s="5"/>
      <c r="B165" s="64" t="s">
        <v>62</v>
      </c>
      <c r="C165" s="80"/>
      <c r="D165" s="5" t="s">
        <v>160</v>
      </c>
      <c r="E165" s="69">
        <v>26154</v>
      </c>
      <c r="F165" s="6"/>
      <c r="G165" s="68"/>
    </row>
    <row r="166" spans="1:7" ht="15" customHeight="1" outlineLevel="2">
      <c r="A166" s="5"/>
      <c r="B166" s="64" t="s">
        <v>44</v>
      </c>
      <c r="C166" s="80"/>
      <c r="D166" s="5" t="s">
        <v>160</v>
      </c>
      <c r="E166" s="69">
        <v>729313</v>
      </c>
      <c r="F166" s="6"/>
      <c r="G166" s="68"/>
    </row>
    <row r="167" spans="1:7" ht="15" customHeight="1" outlineLevel="2">
      <c r="A167" s="5"/>
      <c r="B167" s="64" t="s">
        <v>63</v>
      </c>
      <c r="C167" s="80"/>
      <c r="D167" s="5" t="s">
        <v>160</v>
      </c>
      <c r="E167" s="69">
        <v>358296</v>
      </c>
      <c r="F167" s="6"/>
      <c r="G167" s="68"/>
    </row>
    <row r="168" spans="1:7" ht="15" customHeight="1" outlineLevel="2">
      <c r="A168" s="5"/>
      <c r="B168" s="64" t="s">
        <v>64</v>
      </c>
      <c r="C168" s="80"/>
      <c r="D168" s="5" t="s">
        <v>160</v>
      </c>
      <c r="E168" s="69">
        <v>127454</v>
      </c>
      <c r="F168" s="6"/>
      <c r="G168" s="68"/>
    </row>
    <row r="169" spans="1:7" ht="15" customHeight="1" outlineLevel="2">
      <c r="A169" s="5"/>
      <c r="B169" s="64" t="s">
        <v>24</v>
      </c>
      <c r="C169" s="80"/>
      <c r="D169" s="5" t="s">
        <v>160</v>
      </c>
      <c r="E169" s="69">
        <f>32591+31548+50749+15759+78810</f>
        <v>209457</v>
      </c>
      <c r="F169" s="6"/>
      <c r="G169" s="68"/>
    </row>
    <row r="170" spans="1:7" ht="15" customHeight="1" outlineLevel="2">
      <c r="A170" s="5"/>
      <c r="B170" s="64" t="s">
        <v>59</v>
      </c>
      <c r="C170" s="80"/>
      <c r="D170" s="5" t="s">
        <v>160</v>
      </c>
      <c r="E170" s="69">
        <v>141009</v>
      </c>
      <c r="F170" s="6"/>
      <c r="G170" s="68"/>
    </row>
    <row r="171" spans="1:7" ht="15" customHeight="1" outlineLevel="2">
      <c r="A171" s="5"/>
      <c r="B171" s="64" t="s">
        <v>56</v>
      </c>
      <c r="C171" s="80"/>
      <c r="D171" s="5" t="s">
        <v>160</v>
      </c>
      <c r="E171" s="69">
        <v>66709</v>
      </c>
      <c r="F171" s="6"/>
      <c r="G171" s="68"/>
    </row>
    <row r="172" spans="1:7" ht="15" customHeight="1" outlineLevel="2" thickBot="1">
      <c r="A172" s="5"/>
      <c r="B172" s="66" t="s">
        <v>20</v>
      </c>
      <c r="C172" s="82"/>
      <c r="D172" s="5" t="s">
        <v>160</v>
      </c>
      <c r="E172" s="78">
        <v>412885</v>
      </c>
      <c r="F172" s="67"/>
      <c r="G172" s="70">
        <f>SUM(E161:E172)</f>
        <v>2792285</v>
      </c>
    </row>
    <row r="173" spans="2:9" ht="12.75" outlineLevel="1" thickBot="1">
      <c r="B173" s="34" t="s">
        <v>13</v>
      </c>
      <c r="C173" s="63"/>
      <c r="D173" s="56"/>
      <c r="E173" s="55"/>
      <c r="F173" s="35">
        <f>SUM(F8:F172)</f>
        <v>41274065</v>
      </c>
      <c r="G173" s="35">
        <f>SUM(G8:G172)</f>
        <v>46027233</v>
      </c>
      <c r="I173" s="3"/>
    </row>
    <row r="174" spans="2:7" ht="12.75" outlineLevel="1" thickBot="1">
      <c r="B174" s="37" t="s">
        <v>14</v>
      </c>
      <c r="C174" s="56"/>
      <c r="D174" s="54"/>
      <c r="E174" s="36"/>
      <c r="F174" s="36">
        <f>G6</f>
        <v>208458286</v>
      </c>
      <c r="G174" s="36">
        <v>0</v>
      </c>
    </row>
    <row r="175" spans="2:10" ht="12.75" thickBot="1">
      <c r="B175" s="39" t="s">
        <v>15</v>
      </c>
      <c r="C175" s="56"/>
      <c r="D175" s="38"/>
      <c r="E175" s="36"/>
      <c r="F175" s="36">
        <f>SUM(F173:F174)</f>
        <v>249732351</v>
      </c>
      <c r="G175" s="36">
        <f>SUM(G173:G174)</f>
        <v>46027233</v>
      </c>
      <c r="J175" s="3"/>
    </row>
    <row r="176" spans="2:10" ht="12" thickBot="1">
      <c r="B176" s="7"/>
      <c r="C176" s="59"/>
      <c r="D176" s="7"/>
      <c r="E176" s="6"/>
      <c r="F176" s="6"/>
      <c r="G176" s="6"/>
      <c r="J176" s="3"/>
    </row>
    <row r="177" spans="1:7" s="9" customFormat="1" ht="15" customHeight="1" thickBot="1">
      <c r="A177" s="11"/>
      <c r="B177" s="40" t="s">
        <v>225</v>
      </c>
      <c r="C177" s="41"/>
      <c r="D177" s="41"/>
      <c r="E177" s="42">
        <f>F175-G175</f>
        <v>203705118</v>
      </c>
      <c r="F177" s="13" t="s">
        <v>7</v>
      </c>
      <c r="G177"/>
    </row>
    <row r="178" spans="2:7" s="5" customFormat="1" ht="35.25" customHeight="1">
      <c r="B178" s="7"/>
      <c r="D178" s="7"/>
      <c r="E178" s="6"/>
      <c r="F178" s="6"/>
      <c r="G178" s="6"/>
    </row>
    <row r="179" spans="2:7" s="5" customFormat="1" ht="12">
      <c r="B179" s="7"/>
      <c r="D179" s="7"/>
      <c r="E179" s="6"/>
      <c r="F179" s="13"/>
      <c r="G179" s="6"/>
    </row>
    <row r="180" spans="2:7" s="5" customFormat="1" ht="18.75">
      <c r="B180" s="5" t="s">
        <v>226</v>
      </c>
      <c r="D180" s="7"/>
      <c r="E180" s="6"/>
      <c r="F180" s="119" t="s">
        <v>70</v>
      </c>
      <c r="G180" s="6"/>
    </row>
    <row r="181" spans="4:7" s="5" customFormat="1" ht="15" customHeight="1">
      <c r="D181" s="12"/>
      <c r="E181" s="14"/>
      <c r="F181" s="13"/>
      <c r="G181" s="13"/>
    </row>
    <row r="182" spans="5:7" s="5" customFormat="1" ht="15" customHeight="1">
      <c r="E182" s="8"/>
      <c r="F182" s="6"/>
      <c r="G182" s="6"/>
    </row>
    <row r="183" spans="3:6" ht="11.25">
      <c r="C183" s="5"/>
      <c r="F183" s="3"/>
    </row>
    <row r="184" spans="3:5" ht="11.25">
      <c r="C184" s="5"/>
      <c r="E184" s="3"/>
    </row>
    <row r="185" ht="11.25">
      <c r="C185" s="5"/>
    </row>
    <row r="186" ht="11.25">
      <c r="C186" s="5"/>
    </row>
    <row r="187" ht="11.25">
      <c r="C187" s="5"/>
    </row>
    <row r="188" ht="11.25">
      <c r="C188" s="5"/>
    </row>
    <row r="189" ht="11.25">
      <c r="C189" s="5"/>
    </row>
    <row r="190" ht="11.25">
      <c r="C190" s="5"/>
    </row>
  </sheetData>
  <sheetProtection/>
  <autoFilter ref="E4:E191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44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2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48</v>
      </c>
      <c r="C6" s="50" t="s">
        <v>31</v>
      </c>
      <c r="D6" s="50"/>
      <c r="E6" s="47" t="s">
        <v>45</v>
      </c>
    </row>
    <row r="7" spans="2:5" s="5" customFormat="1" ht="15" customHeight="1">
      <c r="B7" s="24" t="s">
        <v>32</v>
      </c>
      <c r="C7" s="32">
        <v>77</v>
      </c>
      <c r="D7" s="69">
        <v>462000</v>
      </c>
      <c r="E7" s="43">
        <f>378400+4300+378400+4300</f>
        <v>765400</v>
      </c>
    </row>
    <row r="8" spans="2:5" s="5" customFormat="1" ht="15" customHeight="1">
      <c r="B8" s="24" t="s">
        <v>27</v>
      </c>
      <c r="C8" s="32">
        <v>95</v>
      </c>
      <c r="D8" s="69">
        <v>570000</v>
      </c>
      <c r="E8" s="43">
        <f>533200+8600</f>
        <v>541800</v>
      </c>
    </row>
    <row r="9" spans="2:5" s="5" customFormat="1" ht="15" customHeight="1">
      <c r="B9" s="24" t="s">
        <v>30</v>
      </c>
      <c r="C9" s="32">
        <f>210+1</f>
        <v>211</v>
      </c>
      <c r="D9" s="69">
        <f>1260000+2400</f>
        <v>1262400</v>
      </c>
      <c r="E9" s="43">
        <f>838500+8600+834200+8600</f>
        <v>1689900</v>
      </c>
    </row>
    <row r="10" spans="2:5" s="5" customFormat="1" ht="15" customHeight="1">
      <c r="B10" s="24" t="s">
        <v>33</v>
      </c>
      <c r="C10" s="32">
        <f>1+151</f>
        <v>152</v>
      </c>
      <c r="D10" s="68">
        <f>2400+906000</f>
        <v>908400</v>
      </c>
      <c r="E10" s="43">
        <v>0</v>
      </c>
    </row>
    <row r="11" spans="2:5" s="5" customFormat="1" ht="15" customHeight="1">
      <c r="B11" s="24" t="s">
        <v>25</v>
      </c>
      <c r="C11" s="32">
        <f>144+2</f>
        <v>146</v>
      </c>
      <c r="D11" s="69">
        <f>864000+12000</f>
        <v>876000</v>
      </c>
      <c r="E11" s="43">
        <f>8600+967500</f>
        <v>976100</v>
      </c>
    </row>
    <row r="12" spans="2:5" s="5" customFormat="1" ht="15" customHeight="1">
      <c r="B12" s="24" t="s">
        <v>34</v>
      </c>
      <c r="C12" s="32">
        <f>1+1+1+427+1</f>
        <v>431</v>
      </c>
      <c r="D12" s="69">
        <f>2400+18000+2562000+2200</f>
        <v>2584600</v>
      </c>
      <c r="E12" s="43">
        <f>17200+223100+8600+8600</f>
        <v>257500</v>
      </c>
    </row>
    <row r="13" spans="2:5" s="5" customFormat="1" ht="15" customHeight="1">
      <c r="B13" s="24" t="s">
        <v>35</v>
      </c>
      <c r="C13" s="32">
        <f>1+1+1+1+1+1+1+1+479+4</f>
        <v>491</v>
      </c>
      <c r="D13" s="69">
        <f>2200+2400+2400+9600+4800+7200+2200+2300+78000+2874000+24000</f>
        <v>3009100</v>
      </c>
      <c r="E13" s="43">
        <f>3457200+30100+3990</f>
        <v>3491290</v>
      </c>
    </row>
    <row r="14" spans="2:5" s="5" customFormat="1" ht="15" customHeight="1">
      <c r="B14" s="24" t="s">
        <v>36</v>
      </c>
      <c r="C14" s="32">
        <f>330+2+1+1</f>
        <v>334</v>
      </c>
      <c r="D14" s="69">
        <f>12000+1980000+2400+6000</f>
        <v>2000400</v>
      </c>
      <c r="E14" s="43">
        <f>1797400+8600</f>
        <v>1806000</v>
      </c>
    </row>
    <row r="15" spans="2:5" s="5" customFormat="1" ht="15" customHeight="1">
      <c r="B15" s="24" t="s">
        <v>37</v>
      </c>
      <c r="C15" s="32">
        <v>139</v>
      </c>
      <c r="D15" s="69">
        <v>834000</v>
      </c>
      <c r="E15" s="43">
        <v>774000</v>
      </c>
    </row>
    <row r="16" spans="2:5" s="5" customFormat="1" ht="15" customHeight="1">
      <c r="B16" s="24" t="s">
        <v>38</v>
      </c>
      <c r="C16" s="32">
        <v>295</v>
      </c>
      <c r="D16" s="68">
        <f>1770000</f>
        <v>1770000</v>
      </c>
      <c r="E16" s="43">
        <f>1427290</f>
        <v>1427290</v>
      </c>
    </row>
    <row r="17" spans="2:5" s="5" customFormat="1" ht="15" customHeight="1">
      <c r="B17" s="24" t="s">
        <v>23</v>
      </c>
      <c r="C17" s="32">
        <f>1+1+98</f>
        <v>100</v>
      </c>
      <c r="D17" s="69">
        <f>2400+2200+588000</f>
        <v>592600</v>
      </c>
      <c r="E17" s="43">
        <v>442900</v>
      </c>
    </row>
    <row r="18" spans="2:5" s="5" customFormat="1" ht="15" customHeight="1">
      <c r="B18" s="24" t="s">
        <v>39</v>
      </c>
      <c r="C18" s="32">
        <f>1+1+371+2+1</f>
        <v>376</v>
      </c>
      <c r="D18" s="69">
        <f>7200+6900+2359500+12000+2200</f>
        <v>2387800</v>
      </c>
      <c r="E18" s="43">
        <f>1720+12900+2128500</f>
        <v>2143120</v>
      </c>
    </row>
    <row r="19" spans="2:5" s="5" customFormat="1" ht="15" customHeight="1">
      <c r="B19" s="24" t="s">
        <v>28</v>
      </c>
      <c r="C19" s="32">
        <f>1+1+245+1</f>
        <v>248</v>
      </c>
      <c r="D19" s="69">
        <f>2200+2400+1470000+6000</f>
        <v>1480600</v>
      </c>
      <c r="E19" s="43">
        <f>7740+1388900+12900+1596</f>
        <v>1411136</v>
      </c>
    </row>
    <row r="20" spans="2:5" s="5" customFormat="1" ht="15" customHeight="1">
      <c r="B20" s="24" t="s">
        <v>40</v>
      </c>
      <c r="C20" s="32">
        <f>1+202+2</f>
        <v>205</v>
      </c>
      <c r="D20" s="69">
        <f>5100+1212000+12000</f>
        <v>1229100</v>
      </c>
      <c r="E20" s="43">
        <f>12900+924500+4300</f>
        <v>941700</v>
      </c>
    </row>
    <row r="21" spans="2:5" s="5" customFormat="1" ht="15" customHeight="1">
      <c r="B21" s="24" t="s">
        <v>29</v>
      </c>
      <c r="C21" s="32">
        <f>1+189</f>
        <v>190</v>
      </c>
      <c r="D21" s="69">
        <f>2200+1134000</f>
        <v>1136200</v>
      </c>
      <c r="E21" s="43">
        <f>645000</f>
        <v>645000</v>
      </c>
    </row>
    <row r="22" spans="2:5" s="5" customFormat="1" ht="15" customHeight="1">
      <c r="B22" s="24" t="s">
        <v>41</v>
      </c>
      <c r="C22" s="32">
        <f>2+113</f>
        <v>115</v>
      </c>
      <c r="D22" s="69">
        <f>12000+678000</f>
        <v>690000</v>
      </c>
      <c r="E22" s="43">
        <f>4300+520300</f>
        <v>524600</v>
      </c>
    </row>
    <row r="23" spans="2:5" s="5" customFormat="1" ht="15" customHeight="1" thickBot="1">
      <c r="B23" s="24" t="s">
        <v>42</v>
      </c>
      <c r="C23" s="32">
        <v>105</v>
      </c>
      <c r="D23" s="77">
        <f>6000+642000</f>
        <v>648000</v>
      </c>
      <c r="E23" s="44">
        <f>4300+464400</f>
        <v>468700</v>
      </c>
    </row>
    <row r="24" spans="2:5" s="5" customFormat="1" ht="15" customHeight="1" thickBot="1">
      <c r="B24" s="31"/>
      <c r="C24" s="31">
        <f>SUM(C7:C23)</f>
        <v>3710</v>
      </c>
      <c r="D24" s="51">
        <f>SUM(D7:D23)</f>
        <v>22441200</v>
      </c>
      <c r="E24" s="48"/>
    </row>
    <row r="25" spans="2:5" ht="15.75" customHeight="1" hidden="1" thickBot="1">
      <c r="B25" s="45" t="s">
        <v>46</v>
      </c>
      <c r="C25" s="46"/>
      <c r="D25" s="49"/>
      <c r="E25" s="19" t="e">
        <f>SUM(#REF!)</f>
        <v>#REF!</v>
      </c>
    </row>
    <row r="34" ht="12.75">
      <c r="F34" s="5"/>
    </row>
    <row r="35" ht="12.75">
      <c r="F35" s="5"/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54</v>
      </c>
    </row>
    <row r="5" ht="13.5" thickBot="1"/>
    <row r="6" spans="2:5" s="17" customFormat="1" ht="28.5" customHeight="1" thickBot="1">
      <c r="B6" s="89" t="s">
        <v>49</v>
      </c>
      <c r="C6" s="94" t="s">
        <v>50</v>
      </c>
      <c r="D6" s="52" t="s">
        <v>51</v>
      </c>
      <c r="E6" s="99" t="s">
        <v>66</v>
      </c>
    </row>
    <row r="7" spans="2:5" s="5" customFormat="1" ht="15" customHeight="1" thickTop="1">
      <c r="B7" s="91"/>
      <c r="C7" s="96"/>
      <c r="D7"/>
      <c r="E7" s="96"/>
    </row>
    <row r="8" spans="2:5" s="5" customFormat="1" ht="15" customHeight="1">
      <c r="B8" s="92"/>
      <c r="C8" s="97"/>
      <c r="D8"/>
      <c r="E8" s="97"/>
    </row>
    <row r="9" spans="2:5" s="5" customFormat="1" ht="15" customHeight="1">
      <c r="B9" s="92"/>
      <c r="C9" s="97"/>
      <c r="D9"/>
      <c r="E9" s="97"/>
    </row>
    <row r="10" spans="2:5" s="5" customFormat="1" ht="15" customHeight="1">
      <c r="B10" s="92"/>
      <c r="C10" s="97"/>
      <c r="D10"/>
      <c r="E10" s="97"/>
    </row>
    <row r="11" spans="2:5" s="5" customFormat="1" ht="15" customHeight="1">
      <c r="B11" s="92"/>
      <c r="C11" s="97"/>
      <c r="D11"/>
      <c r="E11" s="97"/>
    </row>
    <row r="12" spans="2:5" s="5" customFormat="1" ht="15" customHeight="1">
      <c r="B12" s="92"/>
      <c r="C12" s="97"/>
      <c r="D12"/>
      <c r="E12" s="97"/>
    </row>
    <row r="13" spans="2:5" s="5" customFormat="1" ht="15" customHeight="1">
      <c r="B13" s="92"/>
      <c r="C13" s="97"/>
      <c r="D13"/>
      <c r="E13" s="97"/>
    </row>
    <row r="14" spans="2:5" s="5" customFormat="1" ht="15" customHeight="1">
      <c r="B14" s="92"/>
      <c r="C14" s="97"/>
      <c r="D14"/>
      <c r="E14" s="97"/>
    </row>
    <row r="15" spans="2:5" s="5" customFormat="1" ht="15" customHeight="1">
      <c r="B15" s="92"/>
      <c r="C15" s="97"/>
      <c r="D15"/>
      <c r="E15" s="97"/>
    </row>
    <row r="16" spans="2:5" s="5" customFormat="1" ht="15" customHeight="1">
      <c r="B16" s="92"/>
      <c r="C16" s="97"/>
      <c r="D16"/>
      <c r="E16" s="97"/>
    </row>
    <row r="17" spans="2:5" s="5" customFormat="1" ht="15" customHeight="1">
      <c r="B17" s="92"/>
      <c r="C17" s="97"/>
      <c r="D17"/>
      <c r="E17" s="97"/>
    </row>
    <row r="18" spans="2:5" s="5" customFormat="1" ht="15" customHeight="1">
      <c r="B18" s="92"/>
      <c r="C18" s="97"/>
      <c r="D18"/>
      <c r="E18" s="97"/>
    </row>
    <row r="19" spans="2:5" s="5" customFormat="1" ht="15" customHeight="1">
      <c r="B19" s="92"/>
      <c r="C19" s="97"/>
      <c r="D19"/>
      <c r="E19" s="97"/>
    </row>
    <row r="20" spans="2:5" s="5" customFormat="1" ht="15" customHeight="1">
      <c r="B20" s="92"/>
      <c r="C20" s="97"/>
      <c r="D20"/>
      <c r="E20" s="97"/>
    </row>
    <row r="21" spans="2:5" s="5" customFormat="1" ht="15" customHeight="1">
      <c r="B21" s="92"/>
      <c r="C21" s="97"/>
      <c r="D21"/>
      <c r="E21" s="97"/>
    </row>
    <row r="22" spans="2:5" s="5" customFormat="1" ht="15" customHeight="1">
      <c r="B22" s="92"/>
      <c r="C22" s="97"/>
      <c r="D22"/>
      <c r="E22" s="97"/>
    </row>
    <row r="23" spans="2:5" s="5" customFormat="1" ht="15" customHeight="1">
      <c r="B23" s="92"/>
      <c r="C23" s="97"/>
      <c r="D23"/>
      <c r="E23" s="97"/>
    </row>
    <row r="24" spans="2:5" s="5" customFormat="1" ht="15" customHeight="1">
      <c r="B24" s="92"/>
      <c r="C24" s="97"/>
      <c r="D24"/>
      <c r="E24" s="97"/>
    </row>
    <row r="25" spans="2:5" s="5" customFormat="1" ht="15" customHeight="1" thickBot="1">
      <c r="B25" s="93"/>
      <c r="C25" s="98"/>
      <c r="D25"/>
      <c r="E25" s="98"/>
    </row>
    <row r="26" spans="2:9" s="5" customFormat="1" ht="15" customHeight="1" thickBot="1" thickTop="1">
      <c r="B26" s="90"/>
      <c r="C26" s="95"/>
      <c r="D26" s="60">
        <f>SUM(D7:D25)</f>
        <v>0</v>
      </c>
      <c r="E26" s="95"/>
      <c r="I26" s="5" t="s">
        <v>65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2023-02-17T19:43:52Z</cp:lastPrinted>
  <dcterms:created xsi:type="dcterms:W3CDTF">2000-09-21T06:07:13Z</dcterms:created>
  <dcterms:modified xsi:type="dcterms:W3CDTF">2023-02-17T19:43:59Z</dcterms:modified>
  <cp:category/>
  <cp:version/>
  <cp:contentType/>
  <cp:contentStatus/>
</cp:coreProperties>
</file>