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'informe'!$E$4:$E$187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<sst xmlns="http://schemas.openxmlformats.org/spreadsheetml/2006/main" count="305" uniqueCount="228">
  <si>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</si>
  <si>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</si>
  <si>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</si>
  <si>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</si>
  <si>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</si>
  <si>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</si>
  <si>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</si>
  <si>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</si>
  <si>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</si>
  <si>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</si>
  <si>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</si>
  <si>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</si>
  <si>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</si>
  <si>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</si>
  <si>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</si>
  <si>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</si>
  <si>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</si>
  <si>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</si>
  <si>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</si>
  <si>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</si>
  <si>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</si>
  <si>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</si>
  <si>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</si>
  <si>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</si>
  <si>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</si>
  <si>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</si>
  <si>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</si>
  <si>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</si>
  <si>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</si>
  <si>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</si>
  <si>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</si>
  <si>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</si>
  <si>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</si>
  <si>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</si>
  <si>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</si>
  <si>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</si>
  <si>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</si>
  <si>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</si>
  <si>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</si>
  <si>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</si>
  <si>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</si>
  <si>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</si>
  <si>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</si>
  <si>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</si>
  <si>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 xml:space="preserve">CAJA COMPENSACION </t>
  </si>
  <si>
    <t>AYUDA REGIONAL</t>
  </si>
  <si>
    <t>TOTAL AYUDAS SOLIDARIAS</t>
  </si>
  <si>
    <t>PEDRO CACERES</t>
  </si>
  <si>
    <t>ASOCIACION REGIONAL</t>
  </si>
  <si>
    <t xml:space="preserve">FECHA </t>
  </si>
  <si>
    <t>NOMBRE</t>
  </si>
  <si>
    <t>MONTO</t>
  </si>
  <si>
    <t>HONORARIOS</t>
  </si>
  <si>
    <t>SAESA S.A.</t>
  </si>
  <si>
    <t xml:space="preserve">DETALLE RADIO TAXI </t>
  </si>
  <si>
    <t>MARIA VALERIA</t>
  </si>
  <si>
    <t>AFP PLANVITAL</t>
  </si>
  <si>
    <t>ISAPRE BANMEDICA</t>
  </si>
  <si>
    <t>PABLO MOLINA</t>
  </si>
  <si>
    <t>AFP CUPRUM</t>
  </si>
  <si>
    <t>MARIA CRISTINA CABRERA MUÑOZ</t>
  </si>
  <si>
    <t>ENEL</t>
  </si>
  <si>
    <t>IPS</t>
  </si>
  <si>
    <t>AFP HABITAT</t>
  </si>
  <si>
    <t>AFP MODELO</t>
  </si>
  <si>
    <t xml:space="preserve"> ,</t>
  </si>
  <si>
    <t>N° VALE</t>
  </si>
  <si>
    <t>CYNTHIA PAIRO</t>
  </si>
  <si>
    <t>AGUAS ANDINAS</t>
  </si>
  <si>
    <t>ISAPRE CRUZ BLANCA</t>
  </si>
  <si>
    <t xml:space="preserve">           Tesorería Nacional</t>
  </si>
  <si>
    <t>DIRECTV</t>
  </si>
  <si>
    <t>REGIONAL VALDIVIA</t>
  </si>
  <si>
    <t>CARLOS CACERES</t>
  </si>
  <si>
    <t>ISAPRE COLMENA</t>
  </si>
  <si>
    <t>CHILQUINTA S.A.</t>
  </si>
  <si>
    <t>COÑARIPE</t>
  </si>
  <si>
    <t>HOGAR</t>
  </si>
  <si>
    <t>MARIA HUENULLAN</t>
  </si>
  <si>
    <t>Telefono Tesoreria</t>
  </si>
  <si>
    <t>HOGAR C</t>
  </si>
  <si>
    <t>LILIAN HUANCA</t>
  </si>
  <si>
    <t>SUELDO</t>
  </si>
  <si>
    <t>JUAN CIRO LOPEZ</t>
  </si>
  <si>
    <t>WALESKA AGUILAR</t>
  </si>
  <si>
    <t>ELBA QUEZADA</t>
  </si>
  <si>
    <t>VICTOR SALAZAR</t>
  </si>
  <si>
    <t>JULIETA VEGA</t>
  </si>
  <si>
    <t>ANA CANEO</t>
  </si>
  <si>
    <t>JULIO HORMAZABAL</t>
  </si>
  <si>
    <t>RAQUEL ARIAS</t>
  </si>
  <si>
    <t>JUAN CARLOS HIDALGO</t>
  </si>
  <si>
    <t>CRISTINA SILVA</t>
  </si>
  <si>
    <t>REGIONAL RANCAGUA</t>
  </si>
  <si>
    <t>FONDOS POR RENDIR</t>
  </si>
  <si>
    <t>CARNES XIMA</t>
  </si>
  <si>
    <t>Carnes Loncura</t>
  </si>
  <si>
    <t>JAIME RETAMAL</t>
  </si>
  <si>
    <t>Gas Coñaripe</t>
  </si>
  <si>
    <t>Consumo luz Loncura</t>
  </si>
  <si>
    <t>Consumo agua</t>
  </si>
  <si>
    <t>Telefono Secretaria y Hogar</t>
  </si>
  <si>
    <t>CLAUDIA PIÑA</t>
  </si>
  <si>
    <t>Pescados Loncura</t>
  </si>
  <si>
    <t>Consumo luz Coñaripe - Mehuin</t>
  </si>
  <si>
    <t>Consumo luz</t>
  </si>
  <si>
    <t>Consumo Agua</t>
  </si>
  <si>
    <t>TV cable</t>
  </si>
  <si>
    <t>Consumo Luz</t>
  </si>
  <si>
    <t>Fondos  Loncura</t>
  </si>
  <si>
    <t>Remplazo encargado hogar</t>
  </si>
  <si>
    <t>LONCURA</t>
  </si>
  <si>
    <t>Estadía</t>
  </si>
  <si>
    <t>Pago cuota psaje Subrac Buenos Aires</t>
  </si>
  <si>
    <t>Estadia Hogar</t>
  </si>
  <si>
    <t>ENILDE HERNANDEZ</t>
  </si>
  <si>
    <t>Gas Loncura</t>
  </si>
  <si>
    <t>VICTOR CARTAGENA</t>
  </si>
  <si>
    <t>Recarga directv Loncura</t>
  </si>
  <si>
    <t>Compras Loncura</t>
  </si>
  <si>
    <t>Pan Loncura</t>
  </si>
  <si>
    <t>REGIONAL MALLECO CAUTIN</t>
  </si>
  <si>
    <t>Servicio atención garzon Loncura</t>
  </si>
  <si>
    <t>VICTOR FERNANDEZ</t>
  </si>
  <si>
    <t>Frutas y verdura Loncura</t>
  </si>
  <si>
    <t>REGINA ACOSTA</t>
  </si>
  <si>
    <t>Traslado directorio</t>
  </si>
  <si>
    <t>NICOL ELGUETA</t>
  </si>
  <si>
    <t>Servicio coperia Loncura</t>
  </si>
  <si>
    <t>Diferencia fondos por Rendir compras Loncura</t>
  </si>
  <si>
    <t>VIVIANA SILVA</t>
  </si>
  <si>
    <t>Servicio Garzon Loncura</t>
  </si>
  <si>
    <t>Compra pasaje Lilian Huanca</t>
  </si>
  <si>
    <t>Enero</t>
  </si>
  <si>
    <t>REGIONAL MALLECO CUATIN</t>
  </si>
  <si>
    <t>ELIAS CASTILLO</t>
  </si>
  <si>
    <t>CARLOS VERDUGO</t>
  </si>
  <si>
    <t>ALVARO PARDOW</t>
  </si>
  <si>
    <t>CLAUDIO MORENO</t>
  </si>
  <si>
    <t>Implementación Taller Coaching</t>
  </si>
  <si>
    <t>Dif. Sueldo Enero</t>
  </si>
  <si>
    <t>JAVIER PAREDES</t>
  </si>
  <si>
    <t>Asesoria  directorio</t>
  </si>
  <si>
    <t>KAREN LLANCA</t>
  </si>
  <si>
    <t>Servicio  ayudante de cocina Loncura</t>
  </si>
  <si>
    <t>CLAUDIO AROS</t>
  </si>
  <si>
    <t>Gas</t>
  </si>
  <si>
    <t>Pago celular institucional</t>
  </si>
  <si>
    <t>Asesoria juridica enero</t>
  </si>
  <si>
    <t>JULIAN PULQUILLANCA</t>
  </si>
  <si>
    <t>Corte pasto Mehuin</t>
  </si>
  <si>
    <t>VALENTINA CACERES</t>
  </si>
  <si>
    <t>Reemplazo Vacaciones Waleska</t>
  </si>
  <si>
    <t>Fondos compras art aseo hogar</t>
  </si>
  <si>
    <t>Aseo cabaña Mehuin</t>
  </si>
  <si>
    <t>Atención taller capacitacion y reunion  directorio</t>
  </si>
  <si>
    <t>Publicación segunda convocatoria</t>
  </si>
  <si>
    <t>Compra pasaje Raquel Arias</t>
  </si>
  <si>
    <t>Diferencia fdos. Por Rendir compras Loncura</t>
  </si>
  <si>
    <t>Impuesto y retenciones enero</t>
  </si>
  <si>
    <t>PABLO CACERES</t>
  </si>
  <si>
    <t>MANUEL GAJARDO</t>
  </si>
  <si>
    <t>COM. IMPORT.ENTRE LAPIZ Y PAPEL</t>
  </si>
  <si>
    <t xml:space="preserve">Papel dispensador </t>
  </si>
  <si>
    <t>Compra pasaje Claudia Oporto</t>
  </si>
  <si>
    <t>Pago imposiciones enero</t>
  </si>
  <si>
    <t>JORGE GUERRERO</t>
  </si>
  <si>
    <t>Servicio maestro cocina Loncura</t>
  </si>
  <si>
    <t>COMITÉ AGUA COÑARIPE</t>
  </si>
  <si>
    <t>Consumo agua Coñaripe</t>
  </si>
  <si>
    <t>GUIDO ARRIAZA</t>
  </si>
  <si>
    <t>Reparacion ducha y llave jardin Hogar A</t>
  </si>
  <si>
    <t>Traslado directores visita Loncura</t>
  </si>
  <si>
    <t>Viaticos Reunión directorio</t>
  </si>
  <si>
    <t>Corte ramas y arbol Loncura</t>
  </si>
  <si>
    <t>Materiales mantención Loncura</t>
  </si>
  <si>
    <t>Mantención Cabaña Coñaripe</t>
  </si>
  <si>
    <t>RODRIGO HERRERA</t>
  </si>
  <si>
    <t>MARIANELA HERRERA</t>
  </si>
  <si>
    <t>Enero Febrero</t>
  </si>
  <si>
    <t>Dif. Sueldo Enero y febrero</t>
  </si>
  <si>
    <t>Febrero</t>
  </si>
  <si>
    <t>Mantención cabaña Mehuin enero y febrero</t>
  </si>
  <si>
    <t>JUAN MUÑOZ</t>
  </si>
  <si>
    <t>Mantención jardin Loncura  febrero</t>
  </si>
  <si>
    <t>Mantención cabañas Coñaripe febrero</t>
  </si>
  <si>
    <t>Reembolso viaticos reunion directorio</t>
  </si>
  <si>
    <t>Mantención cabaña Coñaripe febrero</t>
  </si>
  <si>
    <t>HECTOR TRUJILLO</t>
  </si>
  <si>
    <t>ANGELA VELASQUEZ</t>
  </si>
  <si>
    <t>Gtos trabajo Comisión Revisora</t>
  </si>
  <si>
    <t>Dif. Sueldo Enero y Febrero</t>
  </si>
  <si>
    <t>Asesoria estrategica remuneraciones enero y febrero</t>
  </si>
  <si>
    <t>LUIS CABRERA</t>
  </si>
  <si>
    <t>Reparacion Calefon y techo hogar B</t>
  </si>
  <si>
    <t>Servicios audiovisulales enero y febrero</t>
  </si>
  <si>
    <t>Servicio web enero y febrero</t>
  </si>
  <si>
    <t>LUIS TROMILEN</t>
  </si>
  <si>
    <t>Visita cabañas Coñaripe</t>
  </si>
  <si>
    <t>CRISTINA GUESALAGA</t>
  </si>
  <si>
    <t>Descuento no efectuado enero Valdivia</t>
  </si>
  <si>
    <t>Devolución diferencia fdos por Rendir Coñaripe</t>
  </si>
  <si>
    <t>CORPORCION ADMINISTRATIVA</t>
  </si>
  <si>
    <t>Descuentos regional enero y Febrero</t>
  </si>
  <si>
    <t>DEPOSITO</t>
  </si>
  <si>
    <t>Deposito chilectra</t>
  </si>
  <si>
    <t>CORTE SUPREMA</t>
  </si>
  <si>
    <t>REGIONAL SAN MIGUEL</t>
  </si>
  <si>
    <t>Deposito regional campaña incendio forestal</t>
  </si>
  <si>
    <t>Diferencia fondos por Rendir pje Lilian Huanca</t>
  </si>
  <si>
    <t>Diferencia fondos por Rendir pje Claudia Oporto</t>
  </si>
  <si>
    <t>Diferencia fondos por Rendir pje Raquel Arias</t>
  </si>
  <si>
    <t>MEHUIN</t>
  </si>
  <si>
    <t>Deposito cotizaciones enero</t>
  </si>
  <si>
    <t>EL MERCURIO</t>
  </si>
  <si>
    <t>Segunda Convocatoria ( repetido)</t>
  </si>
  <si>
    <t>Compra pasaje Comisión Revisora</t>
  </si>
  <si>
    <t>FEBRERO 2023</t>
  </si>
  <si>
    <t>SALDO EN CTA. CTE. AL 28/03/2023</t>
  </si>
  <si>
    <t>SANTIAGO, 20/03/2023</t>
  </si>
  <si>
    <t>Diferencia fondos por Rendir pje Comisión Revisora</t>
  </si>
  <si>
    <t>Activación correo Cosudi</t>
  </si>
  <si>
    <t>Pagos descuentos regional</t>
  </si>
  <si>
    <t>Pagos descuentos regional enero</t>
  </si>
  <si>
    <t>Instalación bomba motor Loncura</t>
  </si>
  <si>
    <t>Desratización Cabaña Coñaripe</t>
  </si>
  <si>
    <t>Gtos. Reunión Trabajo Corte Suprema</t>
  </si>
  <si>
    <t>Reunión visita ministra y visita Loncura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</si>
</sst>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rgb="FF993300"/>
      </left>
      <right>
        <color indexed="63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theme="5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1" xfId="0" applyNumberFormat="1" applyFont="1" applyFill="1" applyBorder="1" applyAlignment="1">
      <alignment/>
    </xf>
    <xf numFmtId="181" fontId="13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81" fontId="6" fillId="34" borderId="17" xfId="0" applyNumberFormat="1" applyFont="1" applyFill="1" applyBorder="1" applyAlignment="1">
      <alignment horizontal="right"/>
    </xf>
    <xf numFmtId="181" fontId="6" fillId="34" borderId="14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81" fontId="8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6" fillId="34" borderId="17" xfId="0" applyFont="1" applyFill="1" applyBorder="1" applyAlignment="1">
      <alignment horizontal="center"/>
    </xf>
    <xf numFmtId="181" fontId="6" fillId="34" borderId="27" xfId="0" applyNumberFormat="1" applyFont="1" applyFill="1" applyBorder="1" applyAlignment="1">
      <alignment horizontal="right"/>
    </xf>
    <xf numFmtId="0" fontId="6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8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6" fontId="0" fillId="0" borderId="43" xfId="0" applyNumberFormat="1" applyBorder="1" applyAlignment="1">
      <alignment/>
    </xf>
    <xf numFmtId="16" fontId="0" fillId="0" borderId="44" xfId="0" applyNumberFormat="1" applyBorder="1" applyAlignment="1">
      <alignment/>
    </xf>
    <xf numFmtId="16" fontId="0" fillId="0" borderId="45" xfId="0" applyNumberForma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8" fillId="33" borderId="36" xfId="0" applyNumberFormat="1" applyFont="1" applyFill="1" applyBorder="1" applyAlignment="1">
      <alignment horizontal="center"/>
    </xf>
    <xf numFmtId="181" fontId="3" fillId="0" borderId="30" xfId="0" applyNumberFormat="1" applyFont="1" applyFill="1" applyBorder="1" applyAlignment="1">
      <alignment/>
    </xf>
    <xf numFmtId="181" fontId="3" fillId="0" borderId="46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9" fontId="2" fillId="0" borderId="0" xfId="55" applyFont="1" applyFill="1" applyBorder="1" applyAlignment="1">
      <alignment/>
    </xf>
    <xf numFmtId="9" fontId="2" fillId="0" borderId="33" xfId="55" applyFont="1" applyFill="1" applyBorder="1" applyAlignment="1">
      <alignment/>
    </xf>
    <xf numFmtId="9" fontId="2" fillId="0" borderId="39" xfId="55" applyFont="1" applyFill="1" applyBorder="1" applyAlignment="1">
      <alignment/>
    </xf>
    <xf numFmtId="9" fontId="3" fillId="0" borderId="0" xfId="55" applyFont="1" applyFill="1" applyBorder="1" applyAlignment="1">
      <alignment/>
    </xf>
    <xf numFmtId="9" fontId="3" fillId="0" borderId="33" xfId="55" applyFont="1" applyFill="1" applyBorder="1" applyAlignment="1">
      <alignment/>
    </xf>
    <xf numFmtId="9" fontId="2" fillId="0" borderId="0" xfId="55" applyFont="1" applyFill="1" applyAlignment="1">
      <alignment/>
    </xf>
    <xf numFmtId="0" fontId="2" fillId="0" borderId="48" xfId="0" applyFont="1" applyFill="1" applyBorder="1" applyAlignment="1">
      <alignment/>
    </xf>
    <xf numFmtId="181" fontId="4" fillId="0" borderId="41" xfId="0" applyNumberFormat="1" applyFont="1" applyFill="1" applyBorder="1" applyAlignment="1">
      <alignment/>
    </xf>
    <xf numFmtId="0" fontId="2" fillId="0" borderId="49" xfId="0" applyFont="1" applyFill="1" applyBorder="1" applyAlignment="1">
      <alignment/>
    </xf>
    <xf numFmtId="181" fontId="4" fillId="0" borderId="49" xfId="0" applyNumberFormat="1" applyFont="1" applyFill="1" applyBorder="1" applyAlignment="1">
      <alignment/>
    </xf>
    <xf numFmtId="181" fontId="3" fillId="0" borderId="49" xfId="0" applyNumberFormat="1" applyFont="1" applyFill="1" applyBorder="1" applyAlignment="1">
      <alignment/>
    </xf>
    <xf numFmtId="9" fontId="2" fillId="0" borderId="50" xfId="55" applyFont="1" applyFill="1" applyBorder="1" applyAlignment="1">
      <alignment/>
    </xf>
    <xf numFmtId="181" fontId="16" fillId="0" borderId="0" xfId="0" applyNumberFormat="1" applyFont="1" applyFill="1" applyBorder="1" applyAlignment="1">
      <alignment horizontal="center"/>
    </xf>
    <xf numFmtId="168" fontId="2" fillId="0" borderId="0" xfId="52" applyFont="1" applyFill="1" applyAlignment="1">
      <alignment/>
    </xf>
    <xf numFmtId="9" fontId="2" fillId="0" borderId="49" xfId="55" applyFont="1" applyFill="1" applyBorder="1" applyAlignment="1">
      <alignment/>
    </xf>
    <xf numFmtId="9" fontId="2" fillId="0" borderId="51" xfId="55" applyFont="1" applyFill="1" applyBorder="1" applyAlignment="1">
      <alignment/>
    </xf>
    <xf numFmtId="181" fontId="2" fillId="0" borderId="49" xfId="0" applyNumberFormat="1" applyFont="1" applyFill="1" applyBorder="1" applyAlignment="1">
      <alignment/>
    </xf>
    <xf numFmtId="0" fontId="0" fillId="0" borderId="49" xfId="0" applyBorder="1" applyAlignment="1">
      <alignment/>
    </xf>
    <xf numFmtId="9" fontId="3" fillId="0" borderId="49" xfId="55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31" sqref="A3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86"/>
  <sheetViews>
    <sheetView tabSelected="1" zoomScale="110" zoomScaleNormal="110" zoomScalePageLayoutView="0" workbookViewId="0" topLeftCell="A1">
      <pane ySplit="7" topLeftCell="A138" activePane="bottomLeft" state="frozen"/>
      <selection pane="topLeft" activeCell="A1" sqref="A1"/>
      <selection pane="bottomLeft" activeCell="D165" sqref="D165"/>
    </sheetView>
  </sheetViews>
  <sheetFormatPr defaultColWidth="11.421875" defaultRowHeight="12.75" outlineLevelRow="2"/>
  <cols>
    <col min="1" max="1" width="2.140625" style="1" customWidth="1"/>
    <col min="2" max="2" width="42.14062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5" t="s">
        <v>16</v>
      </c>
      <c r="C4" s="2"/>
      <c r="D4" s="2"/>
      <c r="E4" s="3"/>
      <c r="F4" s="4"/>
      <c r="G4" s="4"/>
    </row>
    <row r="5" spans="2:7" ht="14.25">
      <c r="B5" s="26" t="s">
        <v>217</v>
      </c>
      <c r="C5" s="10"/>
      <c r="D5" s="10"/>
      <c r="E5" s="3"/>
      <c r="F5" s="4"/>
      <c r="G5" s="4"/>
    </row>
    <row r="6" spans="4:7" ht="12.75" thickBot="1">
      <c r="D6" s="20"/>
      <c r="E6" s="27"/>
      <c r="F6" s="28" t="s">
        <v>26</v>
      </c>
      <c r="G6" s="27">
        <v>203705118</v>
      </c>
    </row>
    <row r="7" spans="2:7" ht="24" customHeight="1" thickBot="1">
      <c r="B7" s="74" t="s">
        <v>0</v>
      </c>
      <c r="C7" s="57"/>
      <c r="D7" s="31" t="s">
        <v>43</v>
      </c>
      <c r="E7" s="74"/>
      <c r="F7" s="31" t="s">
        <v>1</v>
      </c>
      <c r="G7" s="31" t="s">
        <v>2</v>
      </c>
    </row>
    <row r="8" spans="1:7" ht="12" outlineLevel="2">
      <c r="A8" s="5"/>
      <c r="B8" s="83" t="s">
        <v>3</v>
      </c>
      <c r="C8" s="58"/>
      <c r="D8" s="71"/>
      <c r="E8" s="75"/>
      <c r="F8" s="73"/>
      <c r="G8" s="21"/>
    </row>
    <row r="9" spans="1:7" ht="11.25" outlineLevel="2">
      <c r="A9" s="5"/>
      <c r="B9" s="84"/>
      <c r="C9" s="58"/>
      <c r="D9" s="71"/>
      <c r="E9" s="76"/>
      <c r="F9" s="29"/>
      <c r="G9" s="22"/>
    </row>
    <row r="10" spans="1:7" ht="15.75" customHeight="1" outlineLevel="2">
      <c r="A10" s="5"/>
      <c r="B10" s="85" t="s">
        <v>4</v>
      </c>
      <c r="C10" s="33"/>
      <c r="D10" s="11"/>
      <c r="E10" s="23"/>
      <c r="F10" s="30">
        <f>SUM(E11:E29)</f>
        <v>20539100</v>
      </c>
      <c r="G10" s="23"/>
    </row>
    <row r="11" spans="1:7" ht="15" customHeight="1" hidden="1" outlineLevel="2">
      <c r="A11" s="5"/>
      <c r="B11" s="64" t="s">
        <v>32</v>
      </c>
      <c r="C11" s="32">
        <v>77</v>
      </c>
      <c r="D11" s="72"/>
      <c r="E11" s="69">
        <v>462000</v>
      </c>
      <c r="F11" s="6"/>
      <c r="G11" s="23"/>
    </row>
    <row r="12" spans="1:7" ht="15" customHeight="1" hidden="1" outlineLevel="2">
      <c r="A12" s="5"/>
      <c r="B12" s="64" t="s">
        <v>27</v>
      </c>
      <c r="C12" s="32">
        <v>95</v>
      </c>
      <c r="D12" s="72"/>
      <c r="E12" s="69">
        <f>570000</f>
        <v>570000</v>
      </c>
      <c r="F12" s="6"/>
      <c r="G12" s="23"/>
    </row>
    <row r="13" spans="1:7" ht="15" customHeight="1" hidden="1" outlineLevel="2">
      <c r="A13" s="5"/>
      <c r="B13" s="64" t="s">
        <v>30</v>
      </c>
      <c r="C13" s="32">
        <v>213</v>
      </c>
      <c r="D13" s="72"/>
      <c r="E13" s="69">
        <v>1278000</v>
      </c>
      <c r="F13" s="6"/>
      <c r="G13" s="23"/>
    </row>
    <row r="14" spans="1:7" ht="15" customHeight="1" hidden="1" outlineLevel="2">
      <c r="A14" s="5"/>
      <c r="B14" s="64" t="s">
        <v>33</v>
      </c>
      <c r="C14" s="32">
        <v>148</v>
      </c>
      <c r="D14" s="72"/>
      <c r="E14" s="68">
        <v>888000</v>
      </c>
      <c r="F14" s="6"/>
      <c r="G14" s="23"/>
    </row>
    <row r="15" spans="1:7" ht="15" customHeight="1" hidden="1" outlineLevel="2">
      <c r="A15" s="5"/>
      <c r="B15" s="64" t="s">
        <v>25</v>
      </c>
      <c r="C15" s="32">
        <f>1+141+1</f>
        <v>143</v>
      </c>
      <c r="D15" s="72"/>
      <c r="E15" s="69">
        <f>9200+846000+6000</f>
        <v>861200</v>
      </c>
      <c r="F15" s="6"/>
      <c r="G15" s="23"/>
    </row>
    <row r="16" spans="1:7" ht="15" customHeight="1" hidden="1" outlineLevel="2">
      <c r="A16" s="5"/>
      <c r="B16" s="64" t="s">
        <v>34</v>
      </c>
      <c r="C16" s="32">
        <f>1+1+1+425+1+1</f>
        <v>430</v>
      </c>
      <c r="D16" s="72"/>
      <c r="E16" s="69">
        <f>2400+2400+2400+6000+2550000+26400</f>
        <v>2589600</v>
      </c>
      <c r="F16" s="6"/>
      <c r="G16" s="23"/>
    </row>
    <row r="17" spans="1:7" ht="15" customHeight="1" hidden="1" outlineLevel="2">
      <c r="A17" s="5"/>
      <c r="B17" s="64" t="s">
        <v>35</v>
      </c>
      <c r="C17" s="32">
        <f>1+1+1+1</f>
        <v>4</v>
      </c>
      <c r="D17" s="72"/>
      <c r="E17" s="69">
        <f>2200+7200+2200+2400</f>
        <v>14000</v>
      </c>
      <c r="F17" s="6"/>
      <c r="G17" s="23"/>
    </row>
    <row r="18" spans="1:7" ht="15" customHeight="1" hidden="1" outlineLevel="2">
      <c r="A18" s="5"/>
      <c r="B18" s="64" t="s">
        <v>206</v>
      </c>
      <c r="C18" s="32">
        <v>53</v>
      </c>
      <c r="D18" s="72"/>
      <c r="E18" s="69">
        <f>306000+318000</f>
        <v>624000</v>
      </c>
      <c r="F18" s="6"/>
      <c r="G18" s="23"/>
    </row>
    <row r="19" spans="1:7" ht="15" customHeight="1" hidden="1" outlineLevel="2">
      <c r="A19" s="5"/>
      <c r="B19" s="64" t="s">
        <v>202</v>
      </c>
      <c r="C19" s="32">
        <v>55</v>
      </c>
      <c r="D19" s="72"/>
      <c r="E19" s="69">
        <f>408000+330000</f>
        <v>738000</v>
      </c>
      <c r="F19" s="6"/>
      <c r="G19" s="23"/>
    </row>
    <row r="20" spans="1:7" ht="15" customHeight="1" hidden="1" outlineLevel="2">
      <c r="A20" s="5"/>
      <c r="B20" s="64" t="s">
        <v>36</v>
      </c>
      <c r="C20" s="32">
        <f>328</f>
        <v>328</v>
      </c>
      <c r="D20" s="72"/>
      <c r="E20" s="69">
        <f>1968000</f>
        <v>1968000</v>
      </c>
      <c r="F20" s="6"/>
      <c r="G20" s="23"/>
    </row>
    <row r="21" spans="1:7" ht="15" customHeight="1" hidden="1" outlineLevel="2">
      <c r="A21" s="5"/>
      <c r="B21" s="64" t="s">
        <v>37</v>
      </c>
      <c r="C21" s="32">
        <f>1+140+1</f>
        <v>142</v>
      </c>
      <c r="D21" s="72"/>
      <c r="E21" s="69">
        <f>2200+828000+2200</f>
        <v>832400</v>
      </c>
      <c r="F21" s="6"/>
      <c r="G21" s="23"/>
    </row>
    <row r="22" spans="1:7" ht="15" customHeight="1" hidden="1" outlineLevel="2">
      <c r="A22" s="5"/>
      <c r="B22" s="64" t="s">
        <v>38</v>
      </c>
      <c r="C22" s="32">
        <f>1+287+1</f>
        <v>289</v>
      </c>
      <c r="D22" s="72"/>
      <c r="E22" s="68">
        <f>2300+1722000+2200</f>
        <v>1726500</v>
      </c>
      <c r="F22" s="6"/>
      <c r="G22" s="23"/>
    </row>
    <row r="23" spans="1:7" ht="15" customHeight="1" hidden="1" outlineLevel="2">
      <c r="A23" s="5"/>
      <c r="B23" s="64" t="s">
        <v>23</v>
      </c>
      <c r="C23" s="32">
        <v>101</v>
      </c>
      <c r="D23" s="72"/>
      <c r="E23" s="69">
        <v>606000</v>
      </c>
      <c r="F23" s="6"/>
      <c r="G23" s="23"/>
    </row>
    <row r="24" spans="1:7" ht="15" customHeight="1" hidden="1" outlineLevel="2">
      <c r="A24" s="5"/>
      <c r="B24" s="64" t="s">
        <v>39</v>
      </c>
      <c r="C24" s="32">
        <f>1+1+1+365+1</f>
        <v>369</v>
      </c>
      <c r="D24" s="72"/>
      <c r="E24" s="69">
        <f>2400+2400+2200+2190000</f>
        <v>2197000</v>
      </c>
      <c r="F24" s="6"/>
      <c r="G24" s="23"/>
    </row>
    <row r="25" spans="1:7" ht="15" customHeight="1" hidden="1" outlineLevel="2">
      <c r="A25" s="5"/>
      <c r="B25" s="64" t="s">
        <v>28</v>
      </c>
      <c r="C25" s="32">
        <f>249+1</f>
        <v>250</v>
      </c>
      <c r="D25" s="72"/>
      <c r="E25" s="69">
        <f>2200+1494000+5100</f>
        <v>1501300</v>
      </c>
      <c r="F25" s="6"/>
      <c r="G25" s="23"/>
    </row>
    <row r="26" spans="1:7" ht="15" customHeight="1" hidden="1" outlineLevel="2">
      <c r="A26" s="5"/>
      <c r="B26" s="64" t="s">
        <v>40</v>
      </c>
      <c r="C26" s="32">
        <f>201+1</f>
        <v>202</v>
      </c>
      <c r="D26" s="72"/>
      <c r="E26" s="69">
        <f>1206000+5100</f>
        <v>1211100</v>
      </c>
      <c r="F26" s="6"/>
      <c r="G26" s="23"/>
    </row>
    <row r="27" spans="1:7" ht="15" customHeight="1" hidden="1" outlineLevel="2">
      <c r="A27" s="5"/>
      <c r="B27" s="64" t="s">
        <v>29</v>
      </c>
      <c r="C27" s="32">
        <v>191</v>
      </c>
      <c r="D27" s="72"/>
      <c r="E27" s="69">
        <v>1146000</v>
      </c>
      <c r="F27" s="6"/>
      <c r="G27" s="23"/>
    </row>
    <row r="28" spans="1:7" ht="15" customHeight="1" hidden="1" outlineLevel="2">
      <c r="A28" s="5"/>
      <c r="B28" s="64" t="s">
        <v>41</v>
      </c>
      <c r="C28" s="32">
        <f>1+113</f>
        <v>114</v>
      </c>
      <c r="D28" s="72"/>
      <c r="E28" s="69">
        <f>6000+678000+6000</f>
        <v>690000</v>
      </c>
      <c r="F28" s="6"/>
      <c r="G28" s="23"/>
    </row>
    <row r="29" spans="1:7" ht="14.25" customHeight="1" hidden="1" outlineLevel="2">
      <c r="A29" s="5"/>
      <c r="B29" s="64" t="s">
        <v>42</v>
      </c>
      <c r="C29" s="32">
        <v>106</v>
      </c>
      <c r="D29" s="72"/>
      <c r="E29" s="77">
        <v>636000</v>
      </c>
      <c r="F29" s="6"/>
      <c r="G29" s="23"/>
    </row>
    <row r="30" spans="1:7" ht="12" customHeight="1" outlineLevel="2">
      <c r="A30" s="5"/>
      <c r="B30" s="86"/>
      <c r="C30" s="5"/>
      <c r="D30" s="62"/>
      <c r="E30" s="77"/>
      <c r="F30" s="6"/>
      <c r="G30" s="23"/>
    </row>
    <row r="31" spans="1:7" ht="15" customHeight="1" outlineLevel="2">
      <c r="A31" s="5"/>
      <c r="B31" s="85" t="s">
        <v>5</v>
      </c>
      <c r="C31" s="11"/>
      <c r="D31" s="62"/>
      <c r="E31" s="69"/>
      <c r="F31" s="6"/>
      <c r="G31" s="23"/>
    </row>
    <row r="32" spans="1:7" ht="15" customHeight="1" outlineLevel="2">
      <c r="A32" s="5"/>
      <c r="B32" s="64" t="s">
        <v>77</v>
      </c>
      <c r="C32" s="11"/>
      <c r="D32" s="5" t="s">
        <v>114</v>
      </c>
      <c r="E32" s="69">
        <f>57500+26000+17334+13000+13000+26000+28167+13000+26000+20000+19500+13000+20000+13000+58500+6500+56333+6500+32500+83067+13000+26000+13000+26667+13000+26000+52000+32500+78000+32500+25000</f>
        <v>886568</v>
      </c>
      <c r="F32" s="6"/>
      <c r="G32" s="23"/>
    </row>
    <row r="33" spans="1:7" ht="15" customHeight="1" outlineLevel="2">
      <c r="A33" s="5"/>
      <c r="B33" s="64" t="s">
        <v>72</v>
      </c>
      <c r="C33" s="32"/>
      <c r="D33" s="5" t="s">
        <v>203</v>
      </c>
      <c r="E33" s="69">
        <f>1885687+12720219+1851007</f>
        <v>16456913</v>
      </c>
      <c r="F33" s="6"/>
      <c r="G33" s="23"/>
    </row>
    <row r="34" spans="1:7" ht="15" customHeight="1" outlineLevel="2">
      <c r="A34" s="5"/>
      <c r="B34" s="64" t="s">
        <v>207</v>
      </c>
      <c r="C34" s="32"/>
      <c r="D34" s="5" t="s">
        <v>208</v>
      </c>
      <c r="E34" s="69">
        <v>341000</v>
      </c>
      <c r="F34" s="6"/>
      <c r="G34" s="23"/>
    </row>
    <row r="35" spans="1:7" ht="15" customHeight="1" outlineLevel="2">
      <c r="A35" s="5"/>
      <c r="B35" s="64" t="s">
        <v>134</v>
      </c>
      <c r="C35" s="32"/>
      <c r="D35" s="5" t="s">
        <v>213</v>
      </c>
      <c r="E35" s="69">
        <v>183408</v>
      </c>
      <c r="F35" s="6"/>
      <c r="G35" s="23"/>
    </row>
    <row r="36" spans="1:7" ht="15" customHeight="1" outlineLevel="2">
      <c r="A36" s="5"/>
      <c r="B36" s="64" t="s">
        <v>204</v>
      </c>
      <c r="C36" s="32"/>
      <c r="D36" s="5" t="s">
        <v>205</v>
      </c>
      <c r="E36" s="69">
        <v>90000</v>
      </c>
      <c r="F36" s="6"/>
      <c r="G36" s="23"/>
    </row>
    <row r="37" spans="1:7" ht="15" customHeight="1" outlineLevel="2">
      <c r="A37" s="5"/>
      <c r="B37" s="64" t="s">
        <v>55</v>
      </c>
      <c r="C37" s="32"/>
      <c r="D37" s="5" t="s">
        <v>209</v>
      </c>
      <c r="E37" s="69">
        <v>3626</v>
      </c>
      <c r="F37" s="6"/>
      <c r="G37" s="23"/>
    </row>
    <row r="38" spans="1:7" ht="15" customHeight="1" outlineLevel="2">
      <c r="A38" s="5"/>
      <c r="B38" s="64" t="s">
        <v>55</v>
      </c>
      <c r="C38" s="32"/>
      <c r="D38" s="5" t="s">
        <v>210</v>
      </c>
      <c r="E38" s="69">
        <v>20600</v>
      </c>
      <c r="F38" s="6"/>
      <c r="G38" s="23"/>
    </row>
    <row r="39" spans="1:7" ht="15" customHeight="1" outlineLevel="2">
      <c r="A39" s="5"/>
      <c r="B39" s="64" t="s">
        <v>55</v>
      </c>
      <c r="C39" s="32"/>
      <c r="D39" s="5" t="s">
        <v>211</v>
      </c>
      <c r="E39" s="69">
        <v>4600</v>
      </c>
      <c r="F39" s="6"/>
      <c r="G39" s="23"/>
    </row>
    <row r="40" spans="1:7" ht="15" customHeight="1" outlineLevel="2">
      <c r="A40" s="5"/>
      <c r="B40" s="64" t="s">
        <v>55</v>
      </c>
      <c r="C40" s="32"/>
      <c r="D40" s="5" t="s">
        <v>220</v>
      </c>
      <c r="E40" s="69">
        <v>3300</v>
      </c>
      <c r="F40" s="6"/>
      <c r="G40" s="23"/>
    </row>
    <row r="41" spans="1:7" ht="15" customHeight="1" outlineLevel="2">
      <c r="A41" s="5"/>
      <c r="B41" s="64" t="s">
        <v>90</v>
      </c>
      <c r="C41" s="32"/>
      <c r="D41" s="5" t="s">
        <v>201</v>
      </c>
      <c r="E41" s="69">
        <v>90</v>
      </c>
      <c r="F41" s="6"/>
      <c r="G41" s="23"/>
    </row>
    <row r="42" spans="1:7" ht="15" customHeight="1" outlineLevel="2">
      <c r="A42" s="5"/>
      <c r="B42" s="64" t="s">
        <v>81</v>
      </c>
      <c r="C42" s="32"/>
      <c r="D42" s="5" t="s">
        <v>113</v>
      </c>
      <c r="E42" s="69">
        <v>119333</v>
      </c>
      <c r="F42" s="6"/>
      <c r="G42" s="23"/>
    </row>
    <row r="43" spans="1:7" ht="15" customHeight="1" outlineLevel="2">
      <c r="A43" s="5"/>
      <c r="B43" s="64" t="s">
        <v>91</v>
      </c>
      <c r="C43" s="32"/>
      <c r="D43" s="5" t="s">
        <v>113</v>
      </c>
      <c r="E43" s="69">
        <v>72417</v>
      </c>
      <c r="F43" s="6"/>
      <c r="G43" s="23"/>
    </row>
    <row r="44" spans="1:7" ht="15" customHeight="1" outlineLevel="2">
      <c r="A44" s="5"/>
      <c r="B44" s="64" t="s">
        <v>199</v>
      </c>
      <c r="C44" s="32"/>
      <c r="D44" s="5" t="s">
        <v>200</v>
      </c>
      <c r="E44" s="77">
        <v>4284</v>
      </c>
      <c r="F44" s="6">
        <f>SUM(E32:E44)</f>
        <v>18186139</v>
      </c>
      <c r="G44" s="23"/>
    </row>
    <row r="45" spans="1:7" ht="15" customHeight="1" outlineLevel="2">
      <c r="A45" s="5"/>
      <c r="B45" s="64"/>
      <c r="C45" s="32"/>
      <c r="D45" s="5"/>
      <c r="E45" s="69"/>
      <c r="F45" s="6"/>
      <c r="G45" s="23"/>
    </row>
    <row r="46" spans="1:7" ht="15" customHeight="1" outlineLevel="2">
      <c r="A46" s="5" t="s">
        <v>7</v>
      </c>
      <c r="B46" s="85" t="s">
        <v>8</v>
      </c>
      <c r="C46" s="33"/>
      <c r="D46" s="11"/>
      <c r="E46" s="69"/>
      <c r="F46" s="6"/>
      <c r="G46" s="23"/>
    </row>
    <row r="47" spans="1:7" ht="15" customHeight="1" outlineLevel="2">
      <c r="A47" s="5"/>
      <c r="B47" s="64" t="s">
        <v>111</v>
      </c>
      <c r="C47" s="33"/>
      <c r="D47" s="5" t="s">
        <v>112</v>
      </c>
      <c r="E47" s="69">
        <f>100000+500000+198900+237900+135600+95000+50600+30625+176400+78400+42800+71800+250000+16400+202400+16000+20000+92800+181450+100000+181450+38800+36000+16400+22700+162700+151800+129800+32500+157200+100000+11600+34300+61200+500000+250000+164800+20700+57900+56800+607200+300000+61100+100000+133000+50600+50600+47438+59033+266000+1113200+60720+50600+60720+44650+202400+151800+101200+200205+50600+51145+50600+34300+1200000+200000+56700+48700+11500+47500+23600+18400+94000+50300</f>
        <v>10381536</v>
      </c>
      <c r="F47" s="6"/>
      <c r="G47" s="23"/>
    </row>
    <row r="48" spans="1:7" ht="15" customHeight="1" outlineLevel="2">
      <c r="A48" s="5"/>
      <c r="B48" s="64" t="s">
        <v>212</v>
      </c>
      <c r="C48" s="33"/>
      <c r="D48" s="5" t="s">
        <v>112</v>
      </c>
      <c r="E48" s="69">
        <f>40000+40000+33333</f>
        <v>113333</v>
      </c>
      <c r="F48" s="6"/>
      <c r="G48" s="23"/>
    </row>
    <row r="49" spans="1:7" ht="15" customHeight="1" outlineLevel="2" thickBot="1">
      <c r="A49" s="5"/>
      <c r="B49" s="87" t="s">
        <v>76</v>
      </c>
      <c r="C49" s="33"/>
      <c r="D49" s="61" t="s">
        <v>112</v>
      </c>
      <c r="E49" s="110">
        <f>81667+42000+42000+42000+40000+42000+49000+42000+42000+35000+52500+42000+42000+35000+35000+35000+35000+35000+42000+42000+42000+81667</f>
        <v>976834</v>
      </c>
      <c r="F49" s="100">
        <f>SUM(E47:E49)</f>
        <v>11471703</v>
      </c>
      <c r="G49" s="101"/>
    </row>
    <row r="50" spans="1:7" ht="12" outlineLevel="2">
      <c r="A50" s="5"/>
      <c r="B50" s="88" t="s">
        <v>9</v>
      </c>
      <c r="C50" s="79"/>
      <c r="D50" s="5"/>
      <c r="E50" s="64"/>
      <c r="F50" s="6"/>
      <c r="G50" s="68"/>
    </row>
    <row r="51" spans="1:7" ht="15" customHeight="1" outlineLevel="2">
      <c r="A51" s="5"/>
      <c r="B51" s="85" t="s">
        <v>10</v>
      </c>
      <c r="C51" s="80"/>
      <c r="D51" s="11"/>
      <c r="E51" s="69"/>
      <c r="F51" s="6"/>
      <c r="G51" s="68"/>
    </row>
    <row r="52" spans="1:7" ht="14.25" customHeight="1" outlineLevel="2">
      <c r="A52" s="5"/>
      <c r="B52" s="64" t="s">
        <v>137</v>
      </c>
      <c r="C52" s="80"/>
      <c r="D52" s="5" t="s">
        <v>221</v>
      </c>
      <c r="E52" s="69">
        <v>42840</v>
      </c>
      <c r="F52" s="6"/>
      <c r="G52" s="68"/>
    </row>
    <row r="53" spans="1:7" ht="14.25" customHeight="1" outlineLevel="2">
      <c r="A53" s="5"/>
      <c r="B53" s="64" t="s">
        <v>137</v>
      </c>
      <c r="C53" s="80"/>
      <c r="D53" s="5" t="s">
        <v>196</v>
      </c>
      <c r="E53" s="69">
        <f>348000+348000</f>
        <v>696000</v>
      </c>
      <c r="F53" s="6"/>
      <c r="G53" s="68"/>
    </row>
    <row r="54" spans="1:7" ht="14.25" customHeight="1" outlineLevel="2">
      <c r="A54" s="5"/>
      <c r="B54" s="64" t="s">
        <v>67</v>
      </c>
      <c r="C54" s="80"/>
      <c r="D54" s="5" t="s">
        <v>147</v>
      </c>
      <c r="E54" s="69">
        <v>17698</v>
      </c>
      <c r="F54" s="6"/>
      <c r="G54" s="68"/>
    </row>
    <row r="55" spans="1:7" ht="14.25" customHeight="1" outlineLevel="2">
      <c r="A55" s="5"/>
      <c r="B55" s="64" t="s">
        <v>93</v>
      </c>
      <c r="C55" s="80"/>
      <c r="D55" s="5" t="s">
        <v>222</v>
      </c>
      <c r="E55" s="69">
        <f>1549951+739004+286683</f>
        <v>2575638</v>
      </c>
      <c r="F55" s="6"/>
      <c r="G55" s="68"/>
    </row>
    <row r="56" spans="1:7" ht="14.25" customHeight="1" outlineLevel="2">
      <c r="A56" s="5"/>
      <c r="B56" s="64" t="s">
        <v>72</v>
      </c>
      <c r="C56" s="80"/>
      <c r="D56" s="5" t="s">
        <v>223</v>
      </c>
      <c r="E56" s="69">
        <f>5000000+4594802+5000000</f>
        <v>14594802</v>
      </c>
      <c r="F56" s="6"/>
      <c r="G56" s="68"/>
    </row>
    <row r="57" spans="1:7" ht="14.25" customHeight="1" outlineLevel="2">
      <c r="A57" s="5"/>
      <c r="B57" s="64" t="s">
        <v>121</v>
      </c>
      <c r="C57" s="80"/>
      <c r="D57" s="5" t="s">
        <v>165</v>
      </c>
      <c r="E57" s="69">
        <v>183408</v>
      </c>
      <c r="F57" s="6"/>
      <c r="G57" s="68"/>
    </row>
    <row r="58" spans="1:7" ht="15" customHeight="1" outlineLevel="2">
      <c r="A58" s="5"/>
      <c r="B58" s="64" t="s">
        <v>61</v>
      </c>
      <c r="C58" s="80"/>
      <c r="D58" s="5" t="s">
        <v>105</v>
      </c>
      <c r="E58" s="69">
        <v>110208</v>
      </c>
      <c r="F58" s="6"/>
      <c r="G58" s="68"/>
    </row>
    <row r="59" spans="1:7" ht="15" customHeight="1" outlineLevel="2">
      <c r="A59" s="5"/>
      <c r="B59" s="64" t="s">
        <v>68</v>
      </c>
      <c r="C59" s="80"/>
      <c r="D59" s="5" t="s">
        <v>100</v>
      </c>
      <c r="E59" s="69">
        <v>49360</v>
      </c>
      <c r="F59" s="6"/>
      <c r="G59" s="68"/>
    </row>
    <row r="60" spans="1:7" ht="15" customHeight="1" outlineLevel="2">
      <c r="A60" s="5"/>
      <c r="B60" s="64" t="s">
        <v>22</v>
      </c>
      <c r="C60" s="80"/>
      <c r="D60" s="5" t="s">
        <v>79</v>
      </c>
      <c r="E60" s="69">
        <v>43430</v>
      </c>
      <c r="F60" s="6"/>
      <c r="G60" s="68"/>
    </row>
    <row r="61" spans="1:7" ht="15" customHeight="1" outlineLevel="2">
      <c r="A61" s="5"/>
      <c r="B61" s="64" t="s">
        <v>22</v>
      </c>
      <c r="C61" s="80"/>
      <c r="D61" s="5" t="s">
        <v>101</v>
      </c>
      <c r="E61" s="77">
        <f>69046+30779</f>
        <v>99825</v>
      </c>
      <c r="F61" s="6"/>
      <c r="G61" s="68">
        <f>SUM(E52:E61)</f>
        <v>18413209</v>
      </c>
    </row>
    <row r="62" spans="1:7" ht="15" customHeight="1" outlineLevel="2">
      <c r="A62" s="5"/>
      <c r="B62" s="64"/>
      <c r="C62" s="80"/>
      <c r="D62" s="5"/>
      <c r="E62" s="77"/>
      <c r="F62" s="6"/>
      <c r="G62" s="68"/>
    </row>
    <row r="63" spans="1:7" ht="15" customHeight="1" outlineLevel="2">
      <c r="A63" s="5"/>
      <c r="B63" s="85" t="s">
        <v>8</v>
      </c>
      <c r="C63" s="80"/>
      <c r="D63" s="11"/>
      <c r="E63" s="69"/>
      <c r="F63" s="6"/>
      <c r="G63" s="68"/>
    </row>
    <row r="64" spans="1:7" s="108" customFormat="1" ht="16.5" customHeight="1" outlineLevel="2">
      <c r="A64" s="103"/>
      <c r="B64" s="104" t="s">
        <v>89</v>
      </c>
      <c r="C64" s="105"/>
      <c r="D64" s="103" t="s">
        <v>184</v>
      </c>
      <c r="E64" s="69">
        <v>125000</v>
      </c>
      <c r="F64" s="106"/>
      <c r="G64" s="107"/>
    </row>
    <row r="65" spans="1:7" s="108" customFormat="1" ht="16.5" customHeight="1" outlineLevel="2">
      <c r="A65" s="103"/>
      <c r="B65" s="104" t="s">
        <v>141</v>
      </c>
      <c r="C65" s="105"/>
      <c r="D65" s="103" t="s">
        <v>224</v>
      </c>
      <c r="E65" s="69">
        <v>575960</v>
      </c>
      <c r="F65" s="106"/>
      <c r="G65" s="107"/>
    </row>
    <row r="66" spans="1:7" s="108" customFormat="1" ht="16.5" customHeight="1" outlineLevel="2">
      <c r="A66" s="103"/>
      <c r="B66" s="104" t="s">
        <v>115</v>
      </c>
      <c r="C66" s="105"/>
      <c r="D66" s="103" t="s">
        <v>116</v>
      </c>
      <c r="E66" s="69">
        <f>175298+131599+130799+135698+104600+49599</f>
        <v>727593</v>
      </c>
      <c r="F66"/>
      <c r="G66" s="107"/>
    </row>
    <row r="67" spans="1:7" s="108" customFormat="1" ht="16.5" customHeight="1" outlineLevel="2">
      <c r="A67" s="103"/>
      <c r="B67" s="104" t="s">
        <v>97</v>
      </c>
      <c r="C67" s="105"/>
      <c r="D67" s="103" t="s">
        <v>98</v>
      </c>
      <c r="E67" s="69">
        <f>112000+112000+56000</f>
        <v>280000</v>
      </c>
      <c r="F67"/>
      <c r="G67" s="107"/>
    </row>
    <row r="68" spans="1:7" s="108" customFormat="1" ht="16.5" customHeight="1" outlineLevel="2">
      <c r="A68" s="103"/>
      <c r="B68" s="104" t="s">
        <v>95</v>
      </c>
      <c r="C68" s="105"/>
      <c r="D68" s="103" t="s">
        <v>96</v>
      </c>
      <c r="E68" s="69">
        <f>1716597+757132+907175</f>
        <v>3380904</v>
      </c>
      <c r="F68"/>
      <c r="G68" s="107"/>
    </row>
    <row r="69" spans="1:7" s="108" customFormat="1" ht="16.5" customHeight="1" outlineLevel="2">
      <c r="A69" s="103"/>
      <c r="B69" s="104" t="s">
        <v>149</v>
      </c>
      <c r="C69" s="105"/>
      <c r="D69" s="103" t="s">
        <v>150</v>
      </c>
      <c r="E69" s="69">
        <v>50000</v>
      </c>
      <c r="F69"/>
      <c r="G69" s="107"/>
    </row>
    <row r="70" spans="1:7" s="108" customFormat="1" ht="16.5" customHeight="1" outlineLevel="2">
      <c r="A70" s="103"/>
      <c r="B70" s="104" t="s">
        <v>90</v>
      </c>
      <c r="C70" s="105"/>
      <c r="D70" s="103" t="s">
        <v>198</v>
      </c>
      <c r="E70" s="69">
        <v>52465</v>
      </c>
      <c r="F70"/>
      <c r="G70" s="107"/>
    </row>
    <row r="71" spans="1:7" s="108" customFormat="1" ht="16.5" customHeight="1" outlineLevel="2">
      <c r="A71" s="103"/>
      <c r="B71" s="104" t="s">
        <v>67</v>
      </c>
      <c r="C71" s="105"/>
      <c r="D71" s="103" t="s">
        <v>120</v>
      </c>
      <c r="E71" s="69">
        <f>183000+326800+421400</f>
        <v>931200</v>
      </c>
      <c r="F71"/>
      <c r="G71" s="107"/>
    </row>
    <row r="72" spans="1:7" s="108" customFormat="1" ht="16.5" customHeight="1" outlineLevel="2">
      <c r="A72" s="103"/>
      <c r="B72" s="104" t="s">
        <v>67</v>
      </c>
      <c r="C72" s="105"/>
      <c r="D72" s="103" t="s">
        <v>119</v>
      </c>
      <c r="E72" s="69">
        <f>561055+568261+495112+625938+423429+336329+10553</f>
        <v>3020677</v>
      </c>
      <c r="F72"/>
      <c r="G72" s="107"/>
    </row>
    <row r="73" spans="1:7" s="108" customFormat="1" ht="16.5" customHeight="1" outlineLevel="2">
      <c r="A73" s="103"/>
      <c r="B73" s="104" t="s">
        <v>168</v>
      </c>
      <c r="C73" s="105"/>
      <c r="D73" s="103" t="s">
        <v>169</v>
      </c>
      <c r="E73" s="69">
        <v>115792</v>
      </c>
      <c r="F73"/>
      <c r="G73" s="107"/>
    </row>
    <row r="74" spans="1:7" s="108" customFormat="1" ht="16.5" customHeight="1" outlineLevel="2">
      <c r="A74" s="103"/>
      <c r="B74" s="104" t="s">
        <v>86</v>
      </c>
      <c r="C74" s="105"/>
      <c r="D74" s="103" t="s">
        <v>187</v>
      </c>
      <c r="E74" s="69">
        <v>300000</v>
      </c>
      <c r="F74"/>
      <c r="G74" s="107"/>
    </row>
    <row r="75" spans="1:7" s="108" customFormat="1" ht="16.5" customHeight="1" outlineLevel="2">
      <c r="A75" s="103"/>
      <c r="B75" s="104" t="s">
        <v>58</v>
      </c>
      <c r="C75" s="105"/>
      <c r="D75" s="103" t="s">
        <v>118</v>
      </c>
      <c r="E75" s="69">
        <v>27000</v>
      </c>
      <c r="F75"/>
      <c r="G75" s="107"/>
    </row>
    <row r="76" spans="1:7" s="108" customFormat="1" ht="16.5" customHeight="1" outlineLevel="2">
      <c r="A76" s="103"/>
      <c r="B76" s="104" t="s">
        <v>58</v>
      </c>
      <c r="C76" s="105"/>
      <c r="D76" s="103" t="s">
        <v>120</v>
      </c>
      <c r="E76" s="69">
        <f>152000</f>
        <v>152000</v>
      </c>
      <c r="F76"/>
      <c r="G76" s="107"/>
    </row>
    <row r="77" spans="1:7" s="108" customFormat="1" ht="16.5" customHeight="1" outlineLevel="2">
      <c r="A77" s="103"/>
      <c r="B77" s="104" t="s">
        <v>58</v>
      </c>
      <c r="C77" s="105"/>
      <c r="D77" s="103" t="s">
        <v>129</v>
      </c>
      <c r="E77" s="69">
        <f>190632+89491</f>
        <v>280123</v>
      </c>
      <c r="F77"/>
      <c r="G77" s="107"/>
    </row>
    <row r="78" spans="1:7" s="108" customFormat="1" ht="16.5" customHeight="1" outlineLevel="2">
      <c r="A78" s="103"/>
      <c r="B78" s="104" t="s">
        <v>177</v>
      </c>
      <c r="C78" s="105"/>
      <c r="D78" s="103" t="s">
        <v>225</v>
      </c>
      <c r="E78" s="69">
        <v>130900</v>
      </c>
      <c r="F78"/>
      <c r="G78" s="107"/>
    </row>
    <row r="79" spans="1:7" s="108" customFormat="1" ht="16.5" customHeight="1" outlineLevel="2">
      <c r="A79" s="103"/>
      <c r="B79" s="104" t="s">
        <v>127</v>
      </c>
      <c r="C79" s="103"/>
      <c r="D79" s="103" t="s">
        <v>128</v>
      </c>
      <c r="E79" s="69">
        <f>300000+540000+240000</f>
        <v>1080000</v>
      </c>
      <c r="F79"/>
      <c r="G79" s="107"/>
    </row>
    <row r="80" spans="1:7" s="108" customFormat="1" ht="16.5" customHeight="1" outlineLevel="2">
      <c r="A80" s="103"/>
      <c r="B80" s="104" t="s">
        <v>67</v>
      </c>
      <c r="C80" s="103"/>
      <c r="D80" s="103" t="s">
        <v>175</v>
      </c>
      <c r="E80" s="69">
        <v>399191</v>
      </c>
      <c r="F80"/>
      <c r="G80" s="107"/>
    </row>
    <row r="81" spans="1:7" s="108" customFormat="1" ht="16.5" customHeight="1" outlineLevel="2">
      <c r="A81" s="103"/>
      <c r="B81" s="104" t="s">
        <v>67</v>
      </c>
      <c r="C81" s="103"/>
      <c r="D81" s="103" t="s">
        <v>174</v>
      </c>
      <c r="E81" s="69">
        <v>70000</v>
      </c>
      <c r="F81"/>
      <c r="G81" s="107"/>
    </row>
    <row r="82" spans="1:7" s="108" customFormat="1" ht="16.5" customHeight="1" outlineLevel="2">
      <c r="A82" s="103"/>
      <c r="B82" s="104" t="s">
        <v>166</v>
      </c>
      <c r="C82" s="103"/>
      <c r="D82" s="103" t="s">
        <v>167</v>
      </c>
      <c r="E82" s="69">
        <f>315000+331000</f>
        <v>646000</v>
      </c>
      <c r="F82"/>
      <c r="G82" s="107"/>
    </row>
    <row r="83" spans="1:7" s="108" customFormat="1" ht="16.5" customHeight="1" outlineLevel="2" thickBot="1">
      <c r="A83" s="103"/>
      <c r="B83" s="117" t="s">
        <v>193</v>
      </c>
      <c r="C83" s="103"/>
      <c r="D83" s="118" t="s">
        <v>131</v>
      </c>
      <c r="E83" s="119">
        <v>887500</v>
      </c>
      <c r="F83" s="120"/>
      <c r="G83" s="121"/>
    </row>
    <row r="84" spans="1:7" s="108" customFormat="1" ht="16.5" customHeight="1" outlineLevel="2">
      <c r="A84" s="103"/>
      <c r="B84" s="104" t="s">
        <v>197</v>
      </c>
      <c r="C84" s="103"/>
      <c r="D84" s="103" t="s">
        <v>131</v>
      </c>
      <c r="E84" s="69">
        <v>738620</v>
      </c>
      <c r="F84"/>
      <c r="G84" s="107"/>
    </row>
    <row r="85" spans="1:7" s="108" customFormat="1" ht="16.5" customHeight="1" outlineLevel="2">
      <c r="A85" s="103"/>
      <c r="B85" s="104" t="s">
        <v>183</v>
      </c>
      <c r="C85" s="103"/>
      <c r="D85" s="103" t="s">
        <v>167</v>
      </c>
      <c r="E85" s="69">
        <v>331000</v>
      </c>
      <c r="F85"/>
      <c r="G85" s="107"/>
    </row>
    <row r="86" spans="1:8" s="108" customFormat="1" ht="16.5" customHeight="1" outlineLevel="2">
      <c r="A86" s="103"/>
      <c r="B86" s="104" t="s">
        <v>188</v>
      </c>
      <c r="C86" s="103"/>
      <c r="D86" s="103" t="s">
        <v>167</v>
      </c>
      <c r="E86" s="69">
        <v>961000</v>
      </c>
      <c r="F86"/>
      <c r="G86" s="107"/>
      <c r="H86" s="116"/>
    </row>
    <row r="87" spans="1:7" s="108" customFormat="1" ht="16.5" customHeight="1" outlineLevel="2">
      <c r="A87" s="103"/>
      <c r="B87" s="104" t="s">
        <v>102</v>
      </c>
      <c r="C87" s="103"/>
      <c r="D87" s="103" t="s">
        <v>103</v>
      </c>
      <c r="E87" s="69">
        <f>208860+158880+211840+158880+317760</f>
        <v>1056220</v>
      </c>
      <c r="F87"/>
      <c r="G87" s="107"/>
    </row>
    <row r="88" spans="1:7" s="108" customFormat="1" ht="16.5" customHeight="1" outlineLevel="2">
      <c r="A88" s="103"/>
      <c r="B88" s="104" t="s">
        <v>135</v>
      </c>
      <c r="C88" s="103"/>
      <c r="D88" s="103" t="s">
        <v>122</v>
      </c>
      <c r="E88" s="69">
        <f>623724+1011379</f>
        <v>1635103</v>
      </c>
      <c r="F88"/>
      <c r="G88" s="107"/>
    </row>
    <row r="89" spans="1:7" s="108" customFormat="1" ht="16.5" customHeight="1" outlineLevel="2">
      <c r="A89" s="103"/>
      <c r="B89" s="104" t="s">
        <v>143</v>
      </c>
      <c r="C89" s="103"/>
      <c r="D89" s="103" t="s">
        <v>144</v>
      </c>
      <c r="E89" s="69">
        <f>943000+911000</f>
        <v>1854000</v>
      </c>
      <c r="F89"/>
      <c r="G89" s="107"/>
    </row>
    <row r="90" spans="1:7" s="108" customFormat="1" ht="16.5" customHeight="1" outlineLevel="2">
      <c r="A90" s="103"/>
      <c r="B90" s="104" t="s">
        <v>130</v>
      </c>
      <c r="C90" s="103"/>
      <c r="D90" s="103" t="s">
        <v>131</v>
      </c>
      <c r="E90" s="69">
        <f>366000+226000</f>
        <v>592000</v>
      </c>
      <c r="F90"/>
      <c r="G90" s="107"/>
    </row>
    <row r="91" spans="1:7" s="108" customFormat="1" ht="16.5" customHeight="1" outlineLevel="2">
      <c r="A91" s="103"/>
      <c r="B91" s="104" t="s">
        <v>123</v>
      </c>
      <c r="C91" s="103"/>
      <c r="D91" s="103" t="s">
        <v>124</v>
      </c>
      <c r="E91" s="69">
        <f>219600+183500+146200+208850+299001+308471+239000+475000+109500+237500</f>
        <v>2426622</v>
      </c>
      <c r="F91"/>
      <c r="G91" s="107"/>
    </row>
    <row r="92" spans="1:7" s="108" customFormat="1" ht="16.5" customHeight="1" outlineLevel="2">
      <c r="A92" s="103"/>
      <c r="B92" s="109" t="s">
        <v>170</v>
      </c>
      <c r="C92" s="103"/>
      <c r="D92" s="114" t="s">
        <v>176</v>
      </c>
      <c r="E92" s="69">
        <v>15225</v>
      </c>
      <c r="F92" s="106"/>
      <c r="G92" s="107"/>
    </row>
    <row r="93" spans="1:7" s="108" customFormat="1" ht="16.5" customHeight="1" outlineLevel="2">
      <c r="A93" s="103"/>
      <c r="B93" s="109" t="s">
        <v>87</v>
      </c>
      <c r="C93" s="103"/>
      <c r="D93" s="114" t="s">
        <v>154</v>
      </c>
      <c r="E93" s="69">
        <v>80000</v>
      </c>
      <c r="F93" s="106"/>
      <c r="G93" s="107"/>
    </row>
    <row r="94" spans="1:7" ht="15" customHeight="1" outlineLevel="2">
      <c r="A94" s="5"/>
      <c r="B94" s="109" t="s">
        <v>87</v>
      </c>
      <c r="C94" s="5"/>
      <c r="D94" s="114" t="s">
        <v>182</v>
      </c>
      <c r="E94" s="69">
        <f>25000+25000</f>
        <v>50000</v>
      </c>
      <c r="F94" s="106"/>
      <c r="G94" s="107"/>
    </row>
    <row r="95" spans="1:7" ht="15" customHeight="1" outlineLevel="2">
      <c r="A95" s="5"/>
      <c r="B95" s="109" t="s">
        <v>67</v>
      </c>
      <c r="C95" s="5"/>
      <c r="D95" s="114" t="s">
        <v>158</v>
      </c>
      <c r="E95" s="69">
        <f>147178+307807</f>
        <v>454985</v>
      </c>
      <c r="F95" s="106"/>
      <c r="G95" s="107"/>
    </row>
    <row r="96" spans="1:7" ht="15" customHeight="1" outlineLevel="2">
      <c r="A96" s="5"/>
      <c r="B96" s="64" t="s">
        <v>78</v>
      </c>
      <c r="C96" s="5"/>
      <c r="D96" s="103" t="s">
        <v>185</v>
      </c>
      <c r="E96" s="69">
        <v>280000</v>
      </c>
      <c r="F96" s="106"/>
      <c r="G96" s="107"/>
    </row>
    <row r="97" spans="1:7" ht="15" customHeight="1" outlineLevel="2">
      <c r="A97" s="5"/>
      <c r="B97" s="64" t="s">
        <v>75</v>
      </c>
      <c r="C97" s="80"/>
      <c r="D97" s="5" t="s">
        <v>99</v>
      </c>
      <c r="E97" s="69">
        <v>393926</v>
      </c>
      <c r="F97" s="6"/>
      <c r="G97" s="107"/>
    </row>
    <row r="98" spans="1:7" ht="15" customHeight="1" outlineLevel="2">
      <c r="A98" s="5"/>
      <c r="B98" s="64" t="s">
        <v>53</v>
      </c>
      <c r="C98" s="80"/>
      <c r="D98" s="5" t="s">
        <v>104</v>
      </c>
      <c r="E98" s="77">
        <f>28600+1700</f>
        <v>30300</v>
      </c>
      <c r="F98" s="6"/>
      <c r="G98" s="68">
        <f>SUM(E64:E98)</f>
        <v>24131306</v>
      </c>
    </row>
    <row r="99" spans="1:7" ht="15" customHeight="1" outlineLevel="2">
      <c r="A99" s="5"/>
      <c r="B99" s="64"/>
      <c r="C99" s="80"/>
      <c r="D99" s="5"/>
      <c r="E99" s="77"/>
      <c r="F99" s="6"/>
      <c r="G99" s="107"/>
    </row>
    <row r="100" spans="1:7" ht="15" customHeight="1" outlineLevel="2">
      <c r="A100" s="5"/>
      <c r="B100" s="85" t="s">
        <v>17</v>
      </c>
      <c r="C100" s="80"/>
      <c r="D100" s="5"/>
      <c r="E100" s="69"/>
      <c r="F100" s="6"/>
      <c r="G100" s="68"/>
    </row>
    <row r="101" spans="1:7" ht="15" customHeight="1" outlineLevel="2">
      <c r="A101" s="5"/>
      <c r="B101" s="64" t="s">
        <v>21</v>
      </c>
      <c r="C101" s="80"/>
      <c r="D101" s="5" t="s">
        <v>159</v>
      </c>
      <c r="E101" s="77">
        <v>1714158</v>
      </c>
      <c r="F101" s="6"/>
      <c r="G101" s="68">
        <f>SUM(E101:F101)</f>
        <v>1714158</v>
      </c>
    </row>
    <row r="102" spans="1:7" ht="15" customHeight="1" outlineLevel="2">
      <c r="A102" s="5"/>
      <c r="B102" s="64"/>
      <c r="C102" s="80"/>
      <c r="D102" s="5"/>
      <c r="E102" s="77"/>
      <c r="F102" s="6"/>
      <c r="G102" s="68"/>
    </row>
    <row r="103" spans="1:7" ht="15" customHeight="1" outlineLevel="2">
      <c r="A103" s="5"/>
      <c r="B103" s="85" t="s">
        <v>94</v>
      </c>
      <c r="C103" s="80"/>
      <c r="D103" s="5"/>
      <c r="E103" s="77"/>
      <c r="F103" s="6"/>
      <c r="G103" s="68"/>
    </row>
    <row r="104" spans="1:7" ht="15" customHeight="1" outlineLevel="2">
      <c r="A104" s="5"/>
      <c r="B104" s="64" t="s">
        <v>58</v>
      </c>
      <c r="C104" s="80"/>
      <c r="D104" s="5" t="s">
        <v>109</v>
      </c>
      <c r="E104" s="69">
        <f>300000+300000+500000</f>
        <v>1100000</v>
      </c>
      <c r="F104" s="6"/>
      <c r="G104" s="68"/>
    </row>
    <row r="105" spans="1:7" ht="15" customHeight="1" outlineLevel="2">
      <c r="A105" s="5"/>
      <c r="B105" s="64" t="s">
        <v>67</v>
      </c>
      <c r="C105" s="80"/>
      <c r="D105" s="5" t="s">
        <v>109</v>
      </c>
      <c r="E105" s="69">
        <f>150000+200000+300000</f>
        <v>650000</v>
      </c>
      <c r="F105" s="6"/>
      <c r="G105" s="68"/>
    </row>
    <row r="106" spans="1:7" ht="15" customHeight="1" outlineLevel="2">
      <c r="A106" s="5"/>
      <c r="B106" s="64" t="s">
        <v>55</v>
      </c>
      <c r="C106" s="80"/>
      <c r="D106" s="5" t="s">
        <v>157</v>
      </c>
      <c r="E106" s="69">
        <v>160000</v>
      </c>
      <c r="F106" s="6"/>
      <c r="G106" s="68"/>
    </row>
    <row r="107" spans="1:7" ht="15" customHeight="1" outlineLevel="2">
      <c r="A107" s="5"/>
      <c r="B107" s="64" t="s">
        <v>55</v>
      </c>
      <c r="C107" s="80"/>
      <c r="D107" s="5" t="s">
        <v>132</v>
      </c>
      <c r="E107" s="69">
        <v>160000</v>
      </c>
      <c r="F107" s="6"/>
      <c r="G107" s="68"/>
    </row>
    <row r="108" spans="1:7" ht="15" customHeight="1" outlineLevel="2">
      <c r="A108" s="5"/>
      <c r="B108" s="64" t="s">
        <v>55</v>
      </c>
      <c r="C108" s="80"/>
      <c r="D108" s="5" t="s">
        <v>164</v>
      </c>
      <c r="E108" s="69">
        <v>150000</v>
      </c>
      <c r="F108" s="6"/>
      <c r="G108" s="68"/>
    </row>
    <row r="109" spans="1:7" ht="15" customHeight="1" outlineLevel="2">
      <c r="A109" s="5"/>
      <c r="B109" s="64" t="s">
        <v>55</v>
      </c>
      <c r="C109" s="80"/>
      <c r="D109" s="5" t="s">
        <v>216</v>
      </c>
      <c r="E109" s="69">
        <v>220000</v>
      </c>
      <c r="F109" s="6"/>
      <c r="G109" s="68"/>
    </row>
    <row r="110" spans="1:7" ht="15" customHeight="1" outlineLevel="2">
      <c r="A110" s="5"/>
      <c r="B110" s="64" t="s">
        <v>55</v>
      </c>
      <c r="C110" s="80"/>
      <c r="D110" s="5" t="s">
        <v>153</v>
      </c>
      <c r="E110" s="77">
        <v>300000</v>
      </c>
      <c r="F110" s="6"/>
      <c r="G110" s="68">
        <f>SUM(E104:E110)</f>
        <v>2740000</v>
      </c>
    </row>
    <row r="111" spans="1:7" ht="15" customHeight="1" outlineLevel="2">
      <c r="A111" s="5"/>
      <c r="B111" s="64"/>
      <c r="C111" s="80"/>
      <c r="D111" s="5"/>
      <c r="E111" s="77"/>
      <c r="F111" s="6"/>
      <c r="G111" s="68"/>
    </row>
    <row r="112" spans="1:7" ht="15" customHeight="1" outlineLevel="2">
      <c r="A112" s="5"/>
      <c r="B112" s="85" t="s">
        <v>52</v>
      </c>
      <c r="C112" s="80"/>
      <c r="D112" s="77"/>
      <c r="E112" s="77"/>
      <c r="F112" s="68"/>
      <c r="G112" s="68"/>
    </row>
    <row r="113" spans="1:7" ht="15" customHeight="1" outlineLevel="2">
      <c r="A113" s="5"/>
      <c r="B113" s="64" t="s">
        <v>60</v>
      </c>
      <c r="C113" s="80"/>
      <c r="D113" s="5" t="s">
        <v>148</v>
      </c>
      <c r="E113" s="69">
        <v>1000000</v>
      </c>
      <c r="F113" s="6"/>
      <c r="G113" s="68"/>
    </row>
    <row r="114" spans="1:7" ht="15" customHeight="1" outlineLevel="2">
      <c r="A114" s="5"/>
      <c r="B114" s="64" t="s">
        <v>92</v>
      </c>
      <c r="C114" s="80"/>
      <c r="D114" s="5" t="s">
        <v>142</v>
      </c>
      <c r="E114" s="69">
        <v>777955</v>
      </c>
      <c r="F114" s="6"/>
      <c r="G114" s="68"/>
    </row>
    <row r="115" spans="1:7" ht="15" customHeight="1" outlineLevel="2">
      <c r="A115" s="5"/>
      <c r="B115" s="64" t="s">
        <v>136</v>
      </c>
      <c r="C115" s="80"/>
      <c r="D115" s="5" t="s">
        <v>195</v>
      </c>
      <c r="E115" s="77">
        <f>250000+250000</f>
        <v>500000</v>
      </c>
      <c r="F115" s="6"/>
      <c r="G115" s="68">
        <f>SUM(E113:E115)</f>
        <v>2277955</v>
      </c>
    </row>
    <row r="116" spans="1:7" ht="14.25" customHeight="1" outlineLevel="2">
      <c r="A116" s="5"/>
      <c r="B116" s="64"/>
      <c r="C116" s="80"/>
      <c r="D116" s="5"/>
      <c r="E116" s="77"/>
      <c r="F116" s="6"/>
      <c r="G116" s="68"/>
    </row>
    <row r="117" spans="1:7" ht="14.25" customHeight="1" outlineLevel="2" thickBot="1">
      <c r="A117" s="5"/>
      <c r="B117" s="111"/>
      <c r="C117" s="80"/>
      <c r="D117" s="111"/>
      <c r="E117" s="112"/>
      <c r="F117" s="113"/>
      <c r="G117" s="113"/>
    </row>
    <row r="118" spans="1:7" ht="15" customHeight="1" outlineLevel="2">
      <c r="A118" s="5"/>
      <c r="B118" s="85" t="s">
        <v>18</v>
      </c>
      <c r="C118" s="80"/>
      <c r="D118" s="5"/>
      <c r="E118" s="69"/>
      <c r="F118" s="6"/>
      <c r="G118" s="68"/>
    </row>
    <row r="119" spans="1:7" ht="15" customHeight="1" outlineLevel="2">
      <c r="A119" s="5"/>
      <c r="B119" s="64" t="s">
        <v>178</v>
      </c>
      <c r="C119" s="80"/>
      <c r="D119" s="5" t="s">
        <v>226</v>
      </c>
      <c r="E119" s="69">
        <f>37900+17900</f>
        <v>55800</v>
      </c>
      <c r="F119" s="6"/>
      <c r="G119" s="68"/>
    </row>
    <row r="120" spans="1:7" ht="15" customHeight="1" outlineLevel="2">
      <c r="A120" s="5"/>
      <c r="B120" s="64" t="s">
        <v>90</v>
      </c>
      <c r="C120" s="80"/>
      <c r="D120" s="5" t="s">
        <v>186</v>
      </c>
      <c r="E120" s="69">
        <v>42000</v>
      </c>
      <c r="F120" s="6"/>
      <c r="G120" s="68"/>
    </row>
    <row r="121" spans="1:7" ht="15" customHeight="1" outlineLevel="2">
      <c r="A121" s="5"/>
      <c r="B121" s="64" t="s">
        <v>81</v>
      </c>
      <c r="C121" s="80"/>
      <c r="D121" s="5" t="s">
        <v>227</v>
      </c>
      <c r="E121" s="69">
        <v>44700</v>
      </c>
      <c r="F121" s="6"/>
      <c r="G121" s="68"/>
    </row>
    <row r="122" spans="1:7" ht="15" customHeight="1" outlineLevel="2">
      <c r="A122" s="5"/>
      <c r="B122" s="64" t="s">
        <v>81</v>
      </c>
      <c r="C122" s="80"/>
      <c r="D122" s="5" t="s">
        <v>173</v>
      </c>
      <c r="E122" s="69">
        <v>42000</v>
      </c>
      <c r="F122" s="6"/>
      <c r="G122" s="68"/>
    </row>
    <row r="123" spans="1:7" ht="15" customHeight="1" outlineLevel="2">
      <c r="A123" s="5"/>
      <c r="B123" s="65" t="s">
        <v>19</v>
      </c>
      <c r="C123" s="80"/>
      <c r="D123" s="5"/>
      <c r="E123" s="69"/>
      <c r="F123" s="6"/>
      <c r="G123" s="68"/>
    </row>
    <row r="124" spans="1:7" s="108" customFormat="1" ht="16.5" customHeight="1" outlineLevel="2">
      <c r="A124" s="103"/>
      <c r="B124" s="104" t="s">
        <v>125</v>
      </c>
      <c r="C124" s="105"/>
      <c r="D124" s="103" t="s">
        <v>126</v>
      </c>
      <c r="E124" s="69">
        <v>160000</v>
      </c>
      <c r="F124" s="106"/>
      <c r="G124" s="107"/>
    </row>
    <row r="125" spans="1:7" s="108" customFormat="1" ht="16.5" customHeight="1" outlineLevel="2">
      <c r="A125" s="103"/>
      <c r="B125" s="104" t="s">
        <v>138</v>
      </c>
      <c r="C125" s="105"/>
      <c r="D125" s="103" t="s">
        <v>139</v>
      </c>
      <c r="E125" s="69">
        <v>2000000</v>
      </c>
      <c r="F125" s="106"/>
      <c r="G125" s="107"/>
    </row>
    <row r="126" spans="1:7" s="108" customFormat="1" ht="16.5" customHeight="1" outlineLevel="2">
      <c r="A126" s="103"/>
      <c r="B126" s="104" t="s">
        <v>214</v>
      </c>
      <c r="C126" s="105"/>
      <c r="D126" s="103" t="s">
        <v>215</v>
      </c>
      <c r="E126" s="69">
        <v>100355</v>
      </c>
      <c r="F126" s="106"/>
      <c r="G126" s="107"/>
    </row>
    <row r="127" spans="1:7" s="108" customFormat="1" ht="16.5" customHeight="1" outlineLevel="2">
      <c r="A127" s="103"/>
      <c r="B127" s="104" t="s">
        <v>47</v>
      </c>
      <c r="C127" s="105"/>
      <c r="D127" s="103" t="s">
        <v>172</v>
      </c>
      <c r="E127" s="69">
        <v>43414</v>
      </c>
      <c r="F127" s="106"/>
      <c r="G127" s="107"/>
    </row>
    <row r="128" spans="1:7" s="108" customFormat="1" ht="16.5" customHeight="1" outlineLevel="2">
      <c r="A128" s="103"/>
      <c r="B128" s="104" t="s">
        <v>55</v>
      </c>
      <c r="C128" s="105"/>
      <c r="D128" s="103" t="s">
        <v>156</v>
      </c>
      <c r="E128" s="69">
        <f>100355+100355</f>
        <v>200710</v>
      </c>
      <c r="F128" s="106"/>
      <c r="G128" s="107"/>
    </row>
    <row r="129" spans="1:7" s="108" customFormat="1" ht="16.5" customHeight="1" outlineLevel="2">
      <c r="A129" s="103"/>
      <c r="B129" s="104" t="s">
        <v>161</v>
      </c>
      <c r="C129" s="105"/>
      <c r="D129" s="103" t="s">
        <v>192</v>
      </c>
      <c r="E129" s="69">
        <f>1000000+1000000</f>
        <v>2000000</v>
      </c>
      <c r="F129" s="106"/>
      <c r="G129" s="107"/>
    </row>
    <row r="130" spans="1:7" s="108" customFormat="1" ht="16.5" customHeight="1" outlineLevel="2">
      <c r="A130" s="103"/>
      <c r="B130" s="104" t="s">
        <v>189</v>
      </c>
      <c r="C130" s="105"/>
      <c r="D130" s="103" t="s">
        <v>190</v>
      </c>
      <c r="E130" s="69">
        <v>72800</v>
      </c>
      <c r="F130" s="106"/>
      <c r="G130" s="107"/>
    </row>
    <row r="131" spans="1:7" s="108" customFormat="1" ht="16.5" customHeight="1" outlineLevel="2">
      <c r="A131" s="103"/>
      <c r="B131" s="104" t="s">
        <v>73</v>
      </c>
      <c r="C131" s="105"/>
      <c r="D131" s="103" t="s">
        <v>155</v>
      </c>
      <c r="E131" s="77">
        <v>1264827</v>
      </c>
      <c r="F131" s="106"/>
      <c r="G131" s="68">
        <f>SUM(E119:E131)</f>
        <v>6026606</v>
      </c>
    </row>
    <row r="132" spans="1:7" ht="15" customHeight="1" outlineLevel="2" thickBot="1">
      <c r="A132" s="5"/>
      <c r="B132" s="64"/>
      <c r="C132" s="102"/>
      <c r="D132" s="64"/>
      <c r="E132" s="77"/>
      <c r="F132" s="68"/>
      <c r="G132" s="68"/>
    </row>
    <row r="133" spans="1:7" ht="15.75" customHeight="1" outlineLevel="2">
      <c r="A133" s="5"/>
      <c r="B133" s="85" t="s">
        <v>6</v>
      </c>
      <c r="C133" s="80"/>
      <c r="D133" s="5"/>
      <c r="E133" s="77"/>
      <c r="F133" s="6"/>
      <c r="G133" s="68"/>
    </row>
    <row r="134" spans="2:7" s="5" customFormat="1" ht="15" customHeight="1" outlineLevel="2">
      <c r="B134" s="104" t="s">
        <v>151</v>
      </c>
      <c r="C134" s="105"/>
      <c r="D134" s="103" t="s">
        <v>152</v>
      </c>
      <c r="E134" s="69">
        <v>583726</v>
      </c>
      <c r="F134" s="8"/>
      <c r="G134" s="69"/>
    </row>
    <row r="135" spans="2:7" s="5" customFormat="1" ht="15" customHeight="1" outlineLevel="2">
      <c r="B135" s="104" t="s">
        <v>145</v>
      </c>
      <c r="C135" s="105"/>
      <c r="D135" s="103" t="s">
        <v>146</v>
      </c>
      <c r="E135" s="69">
        <v>141000</v>
      </c>
      <c r="F135" s="8"/>
      <c r="G135" s="69"/>
    </row>
    <row r="136" spans="2:7" s="5" customFormat="1" ht="15" customHeight="1" outlineLevel="2">
      <c r="B136" s="64" t="s">
        <v>117</v>
      </c>
      <c r="C136" s="80"/>
      <c r="D136" s="5" t="s">
        <v>194</v>
      </c>
      <c r="E136" s="69">
        <f>53550+14280</f>
        <v>67830</v>
      </c>
      <c r="F136" s="8"/>
      <c r="G136" s="69"/>
    </row>
    <row r="137" spans="2:7" s="5" customFormat="1" ht="15" customHeight="1" outlineLevel="2">
      <c r="B137" s="64" t="s">
        <v>170</v>
      </c>
      <c r="C137" s="80"/>
      <c r="D137" s="5" t="s">
        <v>171</v>
      </c>
      <c r="E137" s="69">
        <v>30450</v>
      </c>
      <c r="F137" s="8"/>
      <c r="G137" s="69"/>
    </row>
    <row r="138" spans="2:7" s="5" customFormat="1" ht="15" customHeight="1" outlineLevel="2">
      <c r="B138" s="64" t="s">
        <v>162</v>
      </c>
      <c r="C138" s="80"/>
      <c r="D138" s="5" t="s">
        <v>163</v>
      </c>
      <c r="E138" s="69">
        <v>170679</v>
      </c>
      <c r="F138" s="8"/>
      <c r="G138" s="69"/>
    </row>
    <row r="139" spans="2:7" s="5" customFormat="1" ht="15" customHeight="1" outlineLevel="2">
      <c r="B139" s="64" t="s">
        <v>73</v>
      </c>
      <c r="C139" s="80"/>
      <c r="D139" s="5" t="s">
        <v>110</v>
      </c>
      <c r="E139" s="69">
        <v>170470</v>
      </c>
      <c r="F139" s="8"/>
      <c r="G139" s="69"/>
    </row>
    <row r="140" spans="1:7" ht="15" customHeight="1" outlineLevel="2">
      <c r="A140" s="5"/>
      <c r="B140" s="64" t="s">
        <v>71</v>
      </c>
      <c r="C140" s="80"/>
      <c r="D140" s="5" t="s">
        <v>107</v>
      </c>
      <c r="E140" s="77">
        <v>203740</v>
      </c>
      <c r="F140" s="6"/>
      <c r="G140" s="68">
        <f>SUM(E134:E140)</f>
        <v>1367895</v>
      </c>
    </row>
    <row r="141" spans="1:7" ht="15" customHeight="1" outlineLevel="2" thickBot="1">
      <c r="A141" s="5"/>
      <c r="B141" s="64"/>
      <c r="C141" s="102"/>
      <c r="D141" s="64"/>
      <c r="E141" s="77"/>
      <c r="F141" s="68"/>
      <c r="G141" s="68"/>
    </row>
    <row r="142" spans="1:7" ht="15" customHeight="1" outlineLevel="2">
      <c r="A142" s="5"/>
      <c r="B142" s="85" t="s">
        <v>80</v>
      </c>
      <c r="C142" s="80"/>
      <c r="D142" s="5"/>
      <c r="E142" s="77"/>
      <c r="F142" s="6"/>
      <c r="G142" s="68"/>
    </row>
    <row r="143" spans="2:7" s="5" customFormat="1" ht="15" customHeight="1" outlineLevel="2">
      <c r="B143" s="64" t="s">
        <v>61</v>
      </c>
      <c r="C143" s="80"/>
      <c r="D143" s="5" t="s">
        <v>108</v>
      </c>
      <c r="E143" s="69">
        <v>2826</v>
      </c>
      <c r="F143" s="8"/>
      <c r="G143" s="69"/>
    </row>
    <row r="144" spans="2:7" s="5" customFormat="1" ht="16.5" customHeight="1" outlineLevel="2">
      <c r="B144" s="64" t="s">
        <v>68</v>
      </c>
      <c r="C144" s="80"/>
      <c r="D144" s="5" t="s">
        <v>106</v>
      </c>
      <c r="E144" s="77">
        <v>12560</v>
      </c>
      <c r="F144" s="8"/>
      <c r="G144" s="68">
        <f>SUM(E143:E144)</f>
        <v>15386</v>
      </c>
    </row>
    <row r="145" spans="1:7" ht="15" customHeight="1" outlineLevel="2" thickBot="1">
      <c r="A145" s="5"/>
      <c r="B145" s="64"/>
      <c r="C145" s="102"/>
      <c r="D145" s="64"/>
      <c r="E145" s="77"/>
      <c r="F145" s="68"/>
      <c r="G145" s="68"/>
    </row>
    <row r="146" spans="1:7" ht="15" customHeight="1" outlineLevel="2">
      <c r="A146" s="5"/>
      <c r="B146" s="85" t="s">
        <v>82</v>
      </c>
      <c r="C146" s="80"/>
      <c r="D146" s="5"/>
      <c r="E146" s="77"/>
      <c r="F146" s="6"/>
      <c r="G146" s="68"/>
    </row>
    <row r="147" spans="1:7" ht="15" customHeight="1" outlineLevel="2">
      <c r="A147" s="5"/>
      <c r="B147" s="64" t="s">
        <v>83</v>
      </c>
      <c r="C147" s="80"/>
      <c r="D147" s="5" t="s">
        <v>180</v>
      </c>
      <c r="E147" s="69">
        <v>231162</v>
      </c>
      <c r="F147" s="6"/>
      <c r="G147" s="68"/>
    </row>
    <row r="148" spans="1:7" ht="15" customHeight="1" outlineLevel="2">
      <c r="A148" s="5"/>
      <c r="B148" s="64" t="s">
        <v>84</v>
      </c>
      <c r="C148" s="80"/>
      <c r="D148" s="5" t="s">
        <v>133</v>
      </c>
      <c r="E148" s="69">
        <v>690905</v>
      </c>
      <c r="F148" s="6"/>
      <c r="G148" s="68"/>
    </row>
    <row r="149" spans="1:7" ht="15" customHeight="1" outlineLevel="2">
      <c r="A149" s="5"/>
      <c r="B149" s="64" t="s">
        <v>85</v>
      </c>
      <c r="C149" s="80"/>
      <c r="D149" s="5" t="s">
        <v>181</v>
      </c>
      <c r="E149" s="69">
        <v>356700</v>
      </c>
      <c r="F149" s="6"/>
      <c r="G149" s="68"/>
    </row>
    <row r="150" spans="1:7" ht="15" customHeight="1" outlineLevel="2">
      <c r="A150" s="5"/>
      <c r="B150" s="64" t="s">
        <v>58</v>
      </c>
      <c r="C150" s="80"/>
      <c r="D150" s="5" t="s">
        <v>180</v>
      </c>
      <c r="E150" s="69">
        <f>280256+1209816</f>
        <v>1490072</v>
      </c>
      <c r="F150" s="6"/>
      <c r="G150" s="68"/>
    </row>
    <row r="151" spans="1:7" ht="15" customHeight="1" outlineLevel="2" thickBot="1">
      <c r="A151" s="5"/>
      <c r="B151" s="111" t="s">
        <v>160</v>
      </c>
      <c r="C151" s="80"/>
      <c r="D151" s="111" t="s">
        <v>179</v>
      </c>
      <c r="E151" s="119">
        <f>410000+410000</f>
        <v>820000</v>
      </c>
      <c r="F151" s="113"/>
      <c r="G151" s="113"/>
    </row>
    <row r="152" spans="1:7" ht="15" customHeight="1" outlineLevel="2">
      <c r="A152" s="5"/>
      <c r="B152" s="64" t="s">
        <v>47</v>
      </c>
      <c r="C152" s="80"/>
      <c r="D152" s="5" t="s">
        <v>181</v>
      </c>
      <c r="E152" s="69">
        <v>877759</v>
      </c>
      <c r="F152" s="6"/>
      <c r="G152" s="68"/>
    </row>
    <row r="153" spans="1:7" ht="15" customHeight="1" outlineLevel="2">
      <c r="A153" s="5"/>
      <c r="B153" s="64" t="s">
        <v>67</v>
      </c>
      <c r="C153" s="80"/>
      <c r="D153" s="5" t="s">
        <v>140</v>
      </c>
      <c r="E153" s="69">
        <v>279461</v>
      </c>
      <c r="F153" s="6"/>
      <c r="G153" s="68"/>
    </row>
    <row r="154" spans="1:7" ht="15" customHeight="1" outlineLevel="2">
      <c r="A154" s="5"/>
      <c r="B154" s="64" t="s">
        <v>88</v>
      </c>
      <c r="C154" s="80"/>
      <c r="D154" s="5" t="s">
        <v>191</v>
      </c>
      <c r="E154" s="77">
        <f>371836+828566</f>
        <v>1200402</v>
      </c>
      <c r="F154" s="6"/>
      <c r="G154" s="68">
        <f>SUM(E147:E154)</f>
        <v>5946461</v>
      </c>
    </row>
    <row r="155" spans="1:7" ht="15" customHeight="1" outlineLevel="2">
      <c r="A155" s="5"/>
      <c r="B155" s="64"/>
      <c r="C155" s="80"/>
      <c r="D155" s="5"/>
      <c r="E155" s="69"/>
      <c r="F155" s="6"/>
      <c r="G155" s="68"/>
    </row>
    <row r="156" spans="1:7" ht="15" customHeight="1" outlineLevel="2">
      <c r="A156" s="5"/>
      <c r="B156" s="85" t="s">
        <v>11</v>
      </c>
      <c r="C156" s="80"/>
      <c r="D156" s="5"/>
      <c r="E156" s="69"/>
      <c r="F156" s="6"/>
      <c r="G156" s="68"/>
    </row>
    <row r="157" spans="1:7" ht="15" customHeight="1" outlineLevel="2">
      <c r="A157" s="5"/>
      <c r="B157" s="64" t="s">
        <v>12</v>
      </c>
      <c r="C157" s="80"/>
      <c r="D157" s="5" t="s">
        <v>133</v>
      </c>
      <c r="E157" s="69">
        <v>345305</v>
      </c>
      <c r="F157" s="6"/>
      <c r="G157" s="68"/>
    </row>
    <row r="158" spans="1:7" ht="15" customHeight="1" outlineLevel="2">
      <c r="A158" s="5"/>
      <c r="B158" s="64" t="s">
        <v>57</v>
      </c>
      <c r="C158" s="81"/>
      <c r="D158" s="5" t="s">
        <v>133</v>
      </c>
      <c r="E158" s="69">
        <v>100545</v>
      </c>
      <c r="F158" s="6"/>
      <c r="G158" s="68"/>
    </row>
    <row r="159" spans="1:7" ht="15" customHeight="1" outlineLevel="2">
      <c r="A159" s="5"/>
      <c r="B159" s="64" t="s">
        <v>74</v>
      </c>
      <c r="C159" s="81"/>
      <c r="D159" s="5" t="s">
        <v>133</v>
      </c>
      <c r="E159" s="69">
        <v>120743</v>
      </c>
      <c r="F159" s="6"/>
      <c r="G159" s="68"/>
    </row>
    <row r="160" spans="1:7" ht="15" customHeight="1" outlineLevel="2">
      <c r="A160" s="5"/>
      <c r="B160" s="64" t="s">
        <v>69</v>
      </c>
      <c r="C160" s="81"/>
      <c r="D160" s="5" t="s">
        <v>133</v>
      </c>
      <c r="E160" s="69">
        <v>257034</v>
      </c>
      <c r="F160" s="6"/>
      <c r="G160" s="68"/>
    </row>
    <row r="161" spans="1:7" ht="15" customHeight="1" outlineLevel="2">
      <c r="A161" s="5"/>
      <c r="B161" s="64" t="s">
        <v>62</v>
      </c>
      <c r="C161" s="80"/>
      <c r="D161" s="5" t="s">
        <v>133</v>
      </c>
      <c r="E161" s="69">
        <v>233929</v>
      </c>
      <c r="F161" s="6"/>
      <c r="G161" s="68"/>
    </row>
    <row r="162" spans="1:7" ht="15" customHeight="1" outlineLevel="2">
      <c r="A162" s="5"/>
      <c r="B162" s="64" t="s">
        <v>44</v>
      </c>
      <c r="C162" s="80"/>
      <c r="D162" s="5" t="s">
        <v>133</v>
      </c>
      <c r="E162" s="69">
        <v>608535</v>
      </c>
      <c r="F162" s="6"/>
      <c r="G162" s="68"/>
    </row>
    <row r="163" spans="1:7" ht="15" customHeight="1" outlineLevel="2">
      <c r="A163" s="5"/>
      <c r="B163" s="64" t="s">
        <v>63</v>
      </c>
      <c r="C163" s="80"/>
      <c r="D163" s="5" t="s">
        <v>133</v>
      </c>
      <c r="E163" s="69">
        <v>414301</v>
      </c>
      <c r="F163" s="6"/>
      <c r="G163" s="68"/>
    </row>
    <row r="164" spans="1:7" ht="15" customHeight="1" outlineLevel="2">
      <c r="A164" s="5"/>
      <c r="B164" s="64" t="s">
        <v>64</v>
      </c>
      <c r="C164" s="80"/>
      <c r="D164" s="5" t="s">
        <v>133</v>
      </c>
      <c r="E164" s="69">
        <v>188342</v>
      </c>
      <c r="F164" s="6"/>
      <c r="G164" s="68"/>
    </row>
    <row r="165" spans="1:7" ht="15" customHeight="1" outlineLevel="2">
      <c r="A165" s="5"/>
      <c r="B165" s="64" t="s">
        <v>24</v>
      </c>
      <c r="C165" s="80"/>
      <c r="D165" s="5" t="s">
        <v>133</v>
      </c>
      <c r="E165" s="69">
        <f>81082+61928+43091+29489+46581</f>
        <v>262171</v>
      </c>
      <c r="F165" s="6"/>
      <c r="G165" s="68"/>
    </row>
    <row r="166" spans="1:7" ht="15" customHeight="1" outlineLevel="2">
      <c r="A166" s="5"/>
      <c r="B166" s="64" t="s">
        <v>59</v>
      </c>
      <c r="C166" s="80"/>
      <c r="D166" s="5" t="s">
        <v>133</v>
      </c>
      <c r="E166" s="69">
        <v>186583</v>
      </c>
      <c r="F166" s="6"/>
      <c r="G166" s="68"/>
    </row>
    <row r="167" spans="1:7" ht="15" customHeight="1" outlineLevel="2">
      <c r="A167" s="5"/>
      <c r="B167" s="64" t="s">
        <v>56</v>
      </c>
      <c r="C167" s="80"/>
      <c r="D167" s="5" t="s">
        <v>133</v>
      </c>
      <c r="E167" s="69">
        <v>124936</v>
      </c>
      <c r="F167" s="6"/>
      <c r="G167" s="68"/>
    </row>
    <row r="168" spans="1:7" ht="15" customHeight="1" outlineLevel="2" thickBot="1">
      <c r="A168" s="5"/>
      <c r="B168" s="66" t="s">
        <v>20</v>
      </c>
      <c r="C168" s="82"/>
      <c r="D168" s="5" t="s">
        <v>133</v>
      </c>
      <c r="E168" s="78">
        <v>450124</v>
      </c>
      <c r="F168" s="67"/>
      <c r="G168" s="70">
        <f>SUM(E157:E168)</f>
        <v>3292548</v>
      </c>
    </row>
    <row r="169" spans="2:11" ht="12.75" outlineLevel="1" thickBot="1">
      <c r="B169" s="34" t="s">
        <v>13</v>
      </c>
      <c r="C169" s="63"/>
      <c r="D169" s="56"/>
      <c r="E169" s="55"/>
      <c r="F169" s="35">
        <f>SUM(F8:F168)</f>
        <v>50196942</v>
      </c>
      <c r="G169" s="35">
        <f>SUM(G8:G168)</f>
        <v>65925524</v>
      </c>
      <c r="H169" s="3"/>
      <c r="I169" s="3"/>
      <c r="K169" s="3"/>
    </row>
    <row r="170" spans="2:7" ht="12.75" outlineLevel="1" thickBot="1">
      <c r="B170" s="37" t="s">
        <v>14</v>
      </c>
      <c r="C170" s="56"/>
      <c r="D170" s="54"/>
      <c r="E170" s="36"/>
      <c r="F170" s="36">
        <f>G6</f>
        <v>203705118</v>
      </c>
      <c r="G170" s="36">
        <v>0</v>
      </c>
    </row>
    <row r="171" spans="2:10" ht="12.75" thickBot="1">
      <c r="B171" s="39" t="s">
        <v>15</v>
      </c>
      <c r="C171" s="56"/>
      <c r="D171" s="38"/>
      <c r="E171" s="36"/>
      <c r="F171" s="36">
        <f>SUM(F169:F170)</f>
        <v>253902060</v>
      </c>
      <c r="G171" s="36">
        <f>SUM(G169:G170)</f>
        <v>65925524</v>
      </c>
      <c r="J171" s="3"/>
    </row>
    <row r="172" spans="2:10" ht="12" thickBot="1">
      <c r="B172" s="7"/>
      <c r="C172" s="59"/>
      <c r="D172" s="7"/>
      <c r="E172" s="6"/>
      <c r="F172" s="6"/>
      <c r="G172" s="6"/>
      <c r="J172" s="3"/>
    </row>
    <row r="173" spans="1:7" s="9" customFormat="1" ht="15" customHeight="1" thickBot="1">
      <c r="A173" s="11"/>
      <c r="B173" s="40" t="s">
        <v>218</v>
      </c>
      <c r="C173" s="41"/>
      <c r="D173" s="41"/>
      <c r="E173" s="42">
        <f>F171-G171</f>
        <v>187976536</v>
      </c>
      <c r="F173" s="13" t="s">
        <v>7</v>
      </c>
      <c r="G173"/>
    </row>
    <row r="174" spans="2:7" s="5" customFormat="1" ht="35.25" customHeight="1">
      <c r="B174" s="7"/>
      <c r="D174" s="7"/>
      <c r="E174" s="6"/>
      <c r="F174" s="6"/>
      <c r="G174" s="6"/>
    </row>
    <row r="175" spans="2:7" s="5" customFormat="1" ht="12">
      <c r="B175" s="7"/>
      <c r="D175" s="7"/>
      <c r="E175" s="6"/>
      <c r="F175" s="13"/>
      <c r="G175" s="6"/>
    </row>
    <row r="176" spans="2:7" s="5" customFormat="1" ht="18.75">
      <c r="B176" s="5" t="s">
        <v>219</v>
      </c>
      <c r="D176" s="7"/>
      <c r="E176" s="6"/>
      <c r="F176" s="115" t="s">
        <v>70</v>
      </c>
      <c r="G176" s="6"/>
    </row>
    <row r="177" spans="4:7" s="5" customFormat="1" ht="15" customHeight="1">
      <c r="D177" s="12"/>
      <c r="E177" s="14"/>
      <c r="F177" s="13"/>
      <c r="G177" s="13"/>
    </row>
    <row r="178" spans="5:7" s="5" customFormat="1" ht="15" customHeight="1">
      <c r="E178" s="8"/>
      <c r="F178" s="6"/>
      <c r="G178" s="6"/>
    </row>
    <row r="179" spans="3:6" ht="11.25">
      <c r="C179" s="5"/>
      <c r="F179" s="3"/>
    </row>
    <row r="180" spans="3:5" ht="11.25">
      <c r="C180" s="5"/>
      <c r="E180" s="3"/>
    </row>
    <row r="181" ht="11.25">
      <c r="C181" s="5"/>
    </row>
    <row r="182" ht="11.25">
      <c r="C182" s="5"/>
    </row>
    <row r="183" ht="11.25">
      <c r="C183" s="5"/>
    </row>
    <row r="184" ht="11.25">
      <c r="C184" s="5"/>
    </row>
    <row r="185" ht="11.25">
      <c r="C185" s="5"/>
    </row>
    <row r="186" ht="11.25">
      <c r="C186" s="5"/>
    </row>
  </sheetData>
  <sheetProtection/>
  <autoFilter ref="E4:E187"/>
  <printOptions horizontalCentered="1"/>
  <pageMargins left="0.3937007874015748" right="0.3937007874015748" top="0.41" bottom="0.47" header="0" footer="0"/>
  <pageSetup horizontalDpi="360" verticalDpi="360" orientation="landscape" r:id="rId4"/>
  <rowBreaks count="1" manualBreakCount="1">
    <brk id="49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zoomScalePageLayoutView="0" workbookViewId="0" topLeftCell="A1">
      <selection activeCell="K25" sqref="K25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1" ht="12.75"/>
    <row r="2" ht="12.75"/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50" t="s">
        <v>48</v>
      </c>
      <c r="C6" s="50" t="s">
        <v>31</v>
      </c>
      <c r="D6" s="50"/>
      <c r="E6" s="47" t="s">
        <v>45</v>
      </c>
    </row>
    <row r="7" spans="2:5" s="5" customFormat="1" ht="15" customHeight="1">
      <c r="B7" s="24" t="s">
        <v>32</v>
      </c>
      <c r="C7" s="32">
        <v>77</v>
      </c>
      <c r="D7" s="69">
        <v>462000</v>
      </c>
      <c r="E7" s="43">
        <f>378400+4300+378400+4300</f>
        <v>765400</v>
      </c>
    </row>
    <row r="8" spans="2:5" s="5" customFormat="1" ht="15" customHeight="1">
      <c r="B8" s="24" t="s">
        <v>27</v>
      </c>
      <c r="C8" s="32">
        <v>95</v>
      </c>
      <c r="D8" s="69">
        <f>570000</f>
        <v>570000</v>
      </c>
      <c r="E8" s="43">
        <f>533200+8600</f>
        <v>541800</v>
      </c>
    </row>
    <row r="9" spans="2:5" s="5" customFormat="1" ht="15" customHeight="1">
      <c r="B9" s="24" t="s">
        <v>30</v>
      </c>
      <c r="C9" s="32">
        <v>213</v>
      </c>
      <c r="D9" s="69">
        <v>1278000</v>
      </c>
      <c r="E9" s="43">
        <f>838500+8600+834200+8600</f>
        <v>1689900</v>
      </c>
    </row>
    <row r="10" spans="2:5" s="5" customFormat="1" ht="15" customHeight="1">
      <c r="B10" s="24" t="s">
        <v>33</v>
      </c>
      <c r="C10" s="32">
        <v>148</v>
      </c>
      <c r="D10" s="69">
        <v>888000</v>
      </c>
      <c r="E10" s="43">
        <v>0</v>
      </c>
    </row>
    <row r="11" spans="2:5" s="5" customFormat="1" ht="15" customHeight="1">
      <c r="B11" s="24" t="s">
        <v>25</v>
      </c>
      <c r="C11" s="32">
        <f>1+141+1</f>
        <v>143</v>
      </c>
      <c r="D11" s="69">
        <f>9200+846000+6000</f>
        <v>861200</v>
      </c>
      <c r="E11" s="43">
        <f>8600+967500</f>
        <v>976100</v>
      </c>
    </row>
    <row r="12" spans="2:5" s="5" customFormat="1" ht="15" customHeight="1">
      <c r="B12" s="24" t="s">
        <v>34</v>
      </c>
      <c r="C12" s="32">
        <f>1+1+1+425+1+1</f>
        <v>430</v>
      </c>
      <c r="D12" s="69">
        <f>2400+2400+2400+6000+2550000+26400</f>
        <v>2589600</v>
      </c>
      <c r="E12" s="43">
        <f>17200+223100+8600+8600</f>
        <v>257500</v>
      </c>
    </row>
    <row r="13" spans="2:5" s="5" customFormat="1" ht="15" customHeight="1">
      <c r="B13" s="24" t="s">
        <v>35</v>
      </c>
      <c r="C13" s="32">
        <f>1+1+1+1</f>
        <v>4</v>
      </c>
      <c r="D13" s="69">
        <f>2200+7200+2200+2400</f>
        <v>14000</v>
      </c>
      <c r="E13" s="43">
        <f>3457200+30100+3990</f>
        <v>3491290</v>
      </c>
    </row>
    <row r="14" spans="2:5" s="5" customFormat="1" ht="15" customHeight="1">
      <c r="B14" s="64" t="s">
        <v>206</v>
      </c>
      <c r="C14" s="32">
        <v>53</v>
      </c>
      <c r="D14" s="69">
        <f>306000+318000</f>
        <v>624000</v>
      </c>
      <c r="E14" s="43"/>
    </row>
    <row r="15" spans="2:5" s="5" customFormat="1" ht="15" customHeight="1">
      <c r="B15" s="64" t="s">
        <v>202</v>
      </c>
      <c r="C15" s="32">
        <v>55</v>
      </c>
      <c r="D15" s="69">
        <f>408000+330000</f>
        <v>738000</v>
      </c>
      <c r="E15" s="43"/>
    </row>
    <row r="16" spans="2:5" s="5" customFormat="1" ht="15" customHeight="1">
      <c r="B16" s="24" t="s">
        <v>36</v>
      </c>
      <c r="C16" s="32">
        <f>328</f>
        <v>328</v>
      </c>
      <c r="D16" s="69">
        <f>1968000</f>
        <v>1968000</v>
      </c>
      <c r="E16" s="43">
        <f>1797400+8600</f>
        <v>1806000</v>
      </c>
    </row>
    <row r="17" spans="2:5" s="5" customFormat="1" ht="15" customHeight="1">
      <c r="B17" s="24" t="s">
        <v>37</v>
      </c>
      <c r="C17" s="32">
        <f>1+140+1</f>
        <v>142</v>
      </c>
      <c r="D17" s="69">
        <f>2200+828000+2200</f>
        <v>832400</v>
      </c>
      <c r="E17" s="43">
        <v>774000</v>
      </c>
    </row>
    <row r="18" spans="2:5" s="5" customFormat="1" ht="15" customHeight="1">
      <c r="B18" s="24" t="s">
        <v>38</v>
      </c>
      <c r="C18" s="32">
        <f>1+287+1</f>
        <v>289</v>
      </c>
      <c r="D18" s="69">
        <f>2300+1722000+2200</f>
        <v>1726500</v>
      </c>
      <c r="E18" s="43">
        <f>1427290</f>
        <v>1427290</v>
      </c>
    </row>
    <row r="19" spans="2:5" s="5" customFormat="1" ht="15" customHeight="1">
      <c r="B19" s="24" t="s">
        <v>23</v>
      </c>
      <c r="C19" s="32">
        <v>101</v>
      </c>
      <c r="D19" s="69">
        <v>606000</v>
      </c>
      <c r="E19" s="43">
        <v>442900</v>
      </c>
    </row>
    <row r="20" spans="2:5" s="5" customFormat="1" ht="15" customHeight="1">
      <c r="B20" s="24" t="s">
        <v>39</v>
      </c>
      <c r="C20" s="32">
        <f>1+1+1+365+1</f>
        <v>369</v>
      </c>
      <c r="D20" s="69">
        <f>2400+2400+2200+2190000</f>
        <v>2197000</v>
      </c>
      <c r="E20" s="43">
        <f>1720+12900+2128500</f>
        <v>2143120</v>
      </c>
    </row>
    <row r="21" spans="2:5" s="5" customFormat="1" ht="15" customHeight="1">
      <c r="B21" s="24" t="s">
        <v>28</v>
      </c>
      <c r="C21" s="32">
        <f>249+1</f>
        <v>250</v>
      </c>
      <c r="D21" s="69">
        <f>2200+1494000+5100</f>
        <v>1501300</v>
      </c>
      <c r="E21" s="43">
        <f>7740+1388900+12900+1596</f>
        <v>1411136</v>
      </c>
    </row>
    <row r="22" spans="2:5" s="5" customFormat="1" ht="15" customHeight="1">
      <c r="B22" s="24" t="s">
        <v>40</v>
      </c>
      <c r="C22" s="32">
        <f>201+1</f>
        <v>202</v>
      </c>
      <c r="D22" s="69">
        <f>1206000+5100</f>
        <v>1211100</v>
      </c>
      <c r="E22" s="43">
        <f>12900+924500+4300</f>
        <v>941700</v>
      </c>
    </row>
    <row r="23" spans="2:5" s="5" customFormat="1" ht="15" customHeight="1">
      <c r="B23" s="24" t="s">
        <v>29</v>
      </c>
      <c r="C23" s="32">
        <v>191</v>
      </c>
      <c r="D23" s="69">
        <v>1146000</v>
      </c>
      <c r="E23" s="43">
        <f>645000</f>
        <v>645000</v>
      </c>
    </row>
    <row r="24" spans="2:5" s="5" customFormat="1" ht="15" customHeight="1">
      <c r="B24" s="24" t="s">
        <v>41</v>
      </c>
      <c r="C24" s="32">
        <f>1+113</f>
        <v>114</v>
      </c>
      <c r="D24" s="69">
        <f>6000+678000+6000</f>
        <v>690000</v>
      </c>
      <c r="E24" s="43">
        <f>4300+520300</f>
        <v>524600</v>
      </c>
    </row>
    <row r="25" spans="2:5" s="5" customFormat="1" ht="15" customHeight="1" thickBot="1">
      <c r="B25" s="24" t="s">
        <v>42</v>
      </c>
      <c r="C25" s="32">
        <v>106</v>
      </c>
      <c r="D25" s="77">
        <v>636000</v>
      </c>
      <c r="E25" s="44">
        <f>4300+464400</f>
        <v>468700</v>
      </c>
    </row>
    <row r="26" spans="2:5" s="5" customFormat="1" ht="15" customHeight="1" thickBot="1">
      <c r="B26" s="31"/>
      <c r="C26" s="31">
        <f>SUM(C7:C25)</f>
        <v>3310</v>
      </c>
      <c r="D26" s="51">
        <f>SUM(D7:D25)</f>
        <v>20539100</v>
      </c>
      <c r="E26" s="48"/>
    </row>
    <row r="27" spans="2:5" ht="15.75" customHeight="1" hidden="1" thickBot="1">
      <c r="B27" s="45" t="s">
        <v>46</v>
      </c>
      <c r="C27" s="46"/>
      <c r="D27" s="49"/>
      <c r="E27" s="19" t="e">
        <f>SUM(#REF!)</f>
        <v>#REF!</v>
      </c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60" verticalDpi="36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B7" sqref="B7:E25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5" width="11.421875" style="18" customWidth="1"/>
    <col min="6" max="16384" width="11.421875" style="15" customWidth="1"/>
  </cols>
  <sheetData>
    <row r="1" ht="26.25" customHeight="1"/>
    <row r="2" ht="26.25" customHeight="1"/>
    <row r="3" spans="2:3" ht="12.75">
      <c r="B3" s="16"/>
      <c r="C3" s="16"/>
    </row>
    <row r="4" spans="2:3" ht="14.25">
      <c r="B4" s="16"/>
      <c r="C4" s="53" t="s">
        <v>54</v>
      </c>
    </row>
    <row r="5" ht="13.5" thickBot="1"/>
    <row r="6" spans="2:5" s="17" customFormat="1" ht="28.5" customHeight="1" thickBot="1">
      <c r="B6" s="89" t="s">
        <v>49</v>
      </c>
      <c r="C6" s="94" t="s">
        <v>50</v>
      </c>
      <c r="D6" s="52" t="s">
        <v>51</v>
      </c>
      <c r="E6" s="99" t="s">
        <v>66</v>
      </c>
    </row>
    <row r="7" spans="2:5" s="5" customFormat="1" ht="15" customHeight="1" thickTop="1">
      <c r="B7" s="91"/>
      <c r="C7" s="96"/>
      <c r="D7"/>
      <c r="E7" s="96"/>
    </row>
    <row r="8" spans="2:5" s="5" customFormat="1" ht="15" customHeight="1">
      <c r="B8" s="92"/>
      <c r="C8" s="97"/>
      <c r="D8"/>
      <c r="E8" s="97"/>
    </row>
    <row r="9" spans="2:5" s="5" customFormat="1" ht="15" customHeight="1">
      <c r="B9" s="92"/>
      <c r="C9" s="97"/>
      <c r="D9"/>
      <c r="E9" s="97"/>
    </row>
    <row r="10" spans="2:5" s="5" customFormat="1" ht="15" customHeight="1">
      <c r="B10" s="92"/>
      <c r="C10" s="97"/>
      <c r="D10"/>
      <c r="E10" s="97"/>
    </row>
    <row r="11" spans="2:5" s="5" customFormat="1" ht="15" customHeight="1">
      <c r="B11" s="92"/>
      <c r="C11" s="97"/>
      <c r="D11"/>
      <c r="E11" s="97"/>
    </row>
    <row r="12" spans="2:5" s="5" customFormat="1" ht="15" customHeight="1">
      <c r="B12" s="92"/>
      <c r="C12" s="97"/>
      <c r="D12"/>
      <c r="E12" s="97"/>
    </row>
    <row r="13" spans="2:5" s="5" customFormat="1" ht="15" customHeight="1">
      <c r="B13" s="92"/>
      <c r="C13" s="97"/>
      <c r="D13"/>
      <c r="E13" s="97"/>
    </row>
    <row r="14" spans="2:5" s="5" customFormat="1" ht="15" customHeight="1">
      <c r="B14" s="92"/>
      <c r="C14" s="97"/>
      <c r="D14"/>
      <c r="E14" s="97"/>
    </row>
    <row r="15" spans="2:5" s="5" customFormat="1" ht="15" customHeight="1">
      <c r="B15" s="92"/>
      <c r="C15" s="97"/>
      <c r="D15"/>
      <c r="E15" s="97"/>
    </row>
    <row r="16" spans="2:5" s="5" customFormat="1" ht="15" customHeight="1">
      <c r="B16" s="92"/>
      <c r="C16" s="97"/>
      <c r="D16"/>
      <c r="E16" s="97"/>
    </row>
    <row r="17" spans="2:5" s="5" customFormat="1" ht="15" customHeight="1">
      <c r="B17" s="92"/>
      <c r="C17" s="97"/>
      <c r="D17"/>
      <c r="E17" s="97"/>
    </row>
    <row r="18" spans="2:5" s="5" customFormat="1" ht="15" customHeight="1">
      <c r="B18" s="92"/>
      <c r="C18" s="97"/>
      <c r="D18"/>
      <c r="E18" s="97"/>
    </row>
    <row r="19" spans="2:5" s="5" customFormat="1" ht="15" customHeight="1">
      <c r="B19" s="92"/>
      <c r="C19" s="97"/>
      <c r="D19"/>
      <c r="E19" s="97"/>
    </row>
    <row r="20" spans="2:5" s="5" customFormat="1" ht="15" customHeight="1">
      <c r="B20" s="92"/>
      <c r="C20" s="97"/>
      <c r="D20"/>
      <c r="E20" s="97"/>
    </row>
    <row r="21" spans="2:5" s="5" customFormat="1" ht="15" customHeight="1">
      <c r="B21" s="92"/>
      <c r="C21" s="97"/>
      <c r="D21"/>
      <c r="E21" s="97"/>
    </row>
    <row r="22" spans="2:5" s="5" customFormat="1" ht="15" customHeight="1">
      <c r="B22" s="92"/>
      <c r="C22" s="97"/>
      <c r="D22"/>
      <c r="E22" s="97"/>
    </row>
    <row r="23" spans="2:5" s="5" customFormat="1" ht="15" customHeight="1">
      <c r="B23" s="92"/>
      <c r="C23" s="97"/>
      <c r="D23"/>
      <c r="E23" s="97"/>
    </row>
    <row r="24" spans="2:5" s="5" customFormat="1" ht="15" customHeight="1">
      <c r="B24" s="92"/>
      <c r="C24" s="97"/>
      <c r="D24"/>
      <c r="E24" s="97"/>
    </row>
    <row r="25" spans="2:5" s="5" customFormat="1" ht="15" customHeight="1" thickBot="1">
      <c r="B25" s="93"/>
      <c r="C25" s="98"/>
      <c r="D25"/>
      <c r="E25" s="98"/>
    </row>
    <row r="26" spans="2:9" s="5" customFormat="1" ht="15" customHeight="1" thickBot="1" thickTop="1">
      <c r="B26" s="90"/>
      <c r="C26" s="95"/>
      <c r="D26" s="60">
        <f>SUM(D7:D25)</f>
        <v>0</v>
      </c>
      <c r="E26" s="95"/>
      <c r="I26" s="5" t="s">
        <v>65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Usuario</cp:lastModifiedBy>
  <cp:lastPrinted>2023-03-21T18:51:46Z</cp:lastPrinted>
  <dcterms:created xsi:type="dcterms:W3CDTF">2000-09-21T06:07:13Z</dcterms:created>
  <dcterms:modified xsi:type="dcterms:W3CDTF">2023-03-21T18:52:14Z</dcterms:modified>
  <cp:category/>
  <cp:version/>
  <cp:contentType/>
  <cp:contentStatus/>
</cp:coreProperties>
</file>