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'informe'!$E$4:$E$187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<sst xmlns="http://schemas.openxmlformats.org/spreadsheetml/2006/main" count="332" uniqueCount="232">
  <si>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</si>
  <si>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</si>
  <si>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</si>
  <si>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</si>
  <si>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</si>
  <si>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</si>
  <si>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</si>
  <si>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</si>
  <si>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</si>
  <si>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</si>
  <si>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</si>
  <si>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</si>
  <si>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</si>
  <si>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</si>
  <si>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</si>
  <si>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</si>
  <si>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</si>
  <si>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</si>
  <si>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</si>
  <si>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</si>
  <si>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</si>
  <si>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</si>
  <si>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</si>
  <si>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</si>
  <si>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</si>
  <si>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</si>
  <si>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</si>
  <si>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</si>
  <si>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</si>
  <si>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</si>
  <si>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</si>
  <si>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</si>
  <si>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</si>
  <si>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</si>
  <si>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</si>
  <si>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</si>
  <si>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</si>
  <si>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</si>
  <si>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</si>
  <si>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</si>
  <si>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</si>
  <si>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</si>
  <si>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</si>
  <si>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</si>
  <si>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</si>
  <si>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</si>
  <si>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</si>
  <si>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</si>
  <si>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</si>
  <si>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</si>
  <si>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</si>
  <si>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</si>
  <si>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</si>
  <si>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</si>
  <si>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</si>
  <si>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</si>
  <si>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</si>
  <si>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</si>
  <si>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</si>
  <si>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</si>
  <si>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</si>
  <si>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</si>
  <si>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</si>
  <si>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</si>
  <si>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</si>
  <si>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</si>
  <si>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</si>
  <si>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</si>
  <si>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</si>
  <si>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</si>
  <si>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 xml:space="preserve">           Tesorería Nacional</t>
  </si>
  <si>
    <t>DIRECTV</t>
  </si>
  <si>
    <t>CARLOS CACERES</t>
  </si>
  <si>
    <t>ISAPRE COLMENA</t>
  </si>
  <si>
    <t>CHILQUINTA S.A.</t>
  </si>
  <si>
    <t>COÑARIPE</t>
  </si>
  <si>
    <t>HOGAR</t>
  </si>
  <si>
    <t>MARIA HUENULLAN</t>
  </si>
  <si>
    <t>Telefono Tesoreria</t>
  </si>
  <si>
    <t>HOGAR C</t>
  </si>
  <si>
    <t>SUELDO</t>
  </si>
  <si>
    <t>JUAN CIRO LOPEZ</t>
  </si>
  <si>
    <t>WALESKA AGUILAR</t>
  </si>
  <si>
    <t>ELBA QUEZADA</t>
  </si>
  <si>
    <t>VICTOR SALAZAR</t>
  </si>
  <si>
    <t>JULIETA VEGA</t>
  </si>
  <si>
    <t>ANA CANEO</t>
  </si>
  <si>
    <t>JULIO HORMAZABAL</t>
  </si>
  <si>
    <t>RAQUEL ARIAS</t>
  </si>
  <si>
    <t>CRISTINA SILVA</t>
  </si>
  <si>
    <t>FONDOS POR RENDIR</t>
  </si>
  <si>
    <t>Consumo luz Loncura</t>
  </si>
  <si>
    <t>Consumo agua</t>
  </si>
  <si>
    <t>Telefono Secretaria y Hogar</t>
  </si>
  <si>
    <t>Consumo luz Coñaripe - Mehuin</t>
  </si>
  <si>
    <t>Consumo luz</t>
  </si>
  <si>
    <t>Consumo Agua</t>
  </si>
  <si>
    <t>TV cable</t>
  </si>
  <si>
    <t>Consumo Luz</t>
  </si>
  <si>
    <t>Remplazo encargado hogar</t>
  </si>
  <si>
    <t>LONCURA</t>
  </si>
  <si>
    <t>Estadía</t>
  </si>
  <si>
    <t>Estadia Hogar</t>
  </si>
  <si>
    <t>REGIONAL MALLECO CAUTIN</t>
  </si>
  <si>
    <t>PABLO CACERES</t>
  </si>
  <si>
    <t>MARIANELA HERRERA</t>
  </si>
  <si>
    <t>CORPORCION ADMINISTRATIVA</t>
  </si>
  <si>
    <t>CORTE SUPREMA</t>
  </si>
  <si>
    <t>YEHIMY LLAMOCA</t>
  </si>
  <si>
    <t>COMITÉ AGUA MEHUIN</t>
  </si>
  <si>
    <t>Consumo agua Mehuin</t>
  </si>
  <si>
    <t>NAYARET QUEVEDO</t>
  </si>
  <si>
    <t>REGIONAL SANTIAGO</t>
  </si>
  <si>
    <t>ALVARO PARDOW</t>
  </si>
  <si>
    <t>HDI</t>
  </si>
  <si>
    <t>Seguro incendio</t>
  </si>
  <si>
    <t>MUNDO PACIFICO</t>
  </si>
  <si>
    <t>Internet Loncura</t>
  </si>
  <si>
    <t>MAPFRE</t>
  </si>
  <si>
    <t>MARCELO BARRIOS</t>
  </si>
  <si>
    <t>Asesoria juridica</t>
  </si>
  <si>
    <t>CLAUDIA OPORTO</t>
  </si>
  <si>
    <t xml:space="preserve">Mantención cabaña Coñaripe </t>
  </si>
  <si>
    <t>JUEGOS DEPORTIVOS</t>
  </si>
  <si>
    <t>REGIONALES</t>
  </si>
  <si>
    <t>LILIAN HUANCA</t>
  </si>
  <si>
    <t>MANUEL GAJARDO</t>
  </si>
  <si>
    <t>EDKAR VILLORIA</t>
  </si>
  <si>
    <t>Gas</t>
  </si>
  <si>
    <t>CARLOS VERDUGO</t>
  </si>
  <si>
    <t>RELACIONES PUBLICAS</t>
  </si>
  <si>
    <t>REGINA ACUÑA</t>
  </si>
  <si>
    <t xml:space="preserve">Uber traslado documentos contables </t>
  </si>
  <si>
    <t>DAVIS RIQUELME</t>
  </si>
  <si>
    <t>CONSTRUELEC SPA</t>
  </si>
  <si>
    <t>JAIME RETAMAL</t>
  </si>
  <si>
    <t>Gas Coñaripe</t>
  </si>
  <si>
    <t>Julio</t>
  </si>
  <si>
    <t>Dif. Fdos compra pasaje Davis Riquelme reunion</t>
  </si>
  <si>
    <t>MEHUIN</t>
  </si>
  <si>
    <t>Dif. Fdos compra pasaje Lilian Huanca Reunion y consultivo</t>
  </si>
  <si>
    <t>Dif. Fdos compra arts aseo Hogar</t>
  </si>
  <si>
    <t>Dif. Fdos compra detergente Hogar</t>
  </si>
  <si>
    <t>Devolucion tasa embarque Davis Riquelme</t>
  </si>
  <si>
    <t xml:space="preserve">Pago inscripcion </t>
  </si>
  <si>
    <t>REGIONAL TEMUCO</t>
  </si>
  <si>
    <t>Devolució cotizaciones julio</t>
  </si>
  <si>
    <t>Devolucion aspiradora</t>
  </si>
  <si>
    <t>Dif. Fdos compra toldos Hogar</t>
  </si>
  <si>
    <t>Deposito votacion electronica</t>
  </si>
  <si>
    <t xml:space="preserve">Deposito retenciones e impto </t>
  </si>
  <si>
    <t>Atención Taller Igualdad</t>
  </si>
  <si>
    <t>Atención Reunión Directorio Julio</t>
  </si>
  <si>
    <t>Reemb. Y Visita Reunión Directorio</t>
  </si>
  <si>
    <t xml:space="preserve">Pasaje Lilian Huanca </t>
  </si>
  <si>
    <t xml:space="preserve">Pasaje Davis Riquelme </t>
  </si>
  <si>
    <t>METLIFE SEGUROS</t>
  </si>
  <si>
    <t>Seguro Directorio</t>
  </si>
  <si>
    <t>COMITÉ AGUA COÑARIPE</t>
  </si>
  <si>
    <t>Consumo agua Coñaripe</t>
  </si>
  <si>
    <t>Reembolso viaticos y reunion directorio</t>
  </si>
  <si>
    <t>Compra arts escritorio</t>
  </si>
  <si>
    <t>REMIGIO CASTRO</t>
  </si>
  <si>
    <t>Compra gif card cumpleaños Juan Ciro Lopez</t>
  </si>
  <si>
    <t>Asesoria juridica julio</t>
  </si>
  <si>
    <t>Traslado directorio julio</t>
  </si>
  <si>
    <t>Pago celular institucional</t>
  </si>
  <si>
    <t>Impuesto y retenciones julio</t>
  </si>
  <si>
    <t>CONFUSAN</t>
  </si>
  <si>
    <t>Aporte Capacitación ISP CNJ</t>
  </si>
  <si>
    <t>Pasaje Claudia Oporto</t>
  </si>
  <si>
    <t>Pago imposiciones julio</t>
  </si>
  <si>
    <t>HOTEL ANTAY</t>
  </si>
  <si>
    <t>Reserva alimentacion</t>
  </si>
  <si>
    <t>Compra detergente  hogar</t>
  </si>
  <si>
    <t>Compra aarticulos aseo Hogar</t>
  </si>
  <si>
    <t>HOTEL PLAZA CIENFUEGOS</t>
  </si>
  <si>
    <t>Estadis visita Regional Talca ( Davis - Raquel)</t>
  </si>
  <si>
    <t>Gastos Visita tribunales campaña Juntos por Nuestras demandas</t>
  </si>
  <si>
    <t>ENTRE PAPEL Y LAPIZ</t>
  </si>
  <si>
    <t>Papel dispensadores</t>
  </si>
  <si>
    <t>REGIONAL COIHAYQUE</t>
  </si>
  <si>
    <t>Reembolso 50 % pje Consultivo Deporte</t>
  </si>
  <si>
    <t>Diferencia compra pasaje Claudia Oporto</t>
  </si>
  <si>
    <t>Asesoria estrategica Julio</t>
  </si>
  <si>
    <t>Visita Regional Talca</t>
  </si>
  <si>
    <t>MIGUEL VIDAL</t>
  </si>
  <si>
    <t>Apoyo Regional Concepcion</t>
  </si>
  <si>
    <t>Recarga Directv coñaripe</t>
  </si>
  <si>
    <t>Trabajos reparacion baño 1 er piso hogar C</t>
  </si>
  <si>
    <t>ambio piso flotanto hogar C</t>
  </si>
  <si>
    <t>Instalación mallas Hogar C</t>
  </si>
  <si>
    <t>Asesoria julio</t>
  </si>
  <si>
    <t>Dif. Cambio pasaje por Licencia</t>
  </si>
  <si>
    <t>Compra aspiradora y repuesto toldo hogar</t>
  </si>
  <si>
    <t>Reparacion Baño hogar B</t>
  </si>
  <si>
    <t xml:space="preserve">VICTOR CARTAGENA </t>
  </si>
  <si>
    <t>Instalación 3 caefont hogar C</t>
  </si>
  <si>
    <t>Limpieza y desinfreccion 2do piso hogar C</t>
  </si>
  <si>
    <t>Reembolso gastos seminario y visita trabajos hogar</t>
  </si>
  <si>
    <t>BRONCERIAS CHILE</t>
  </si>
  <si>
    <t>Galvanos Concurso literario</t>
  </si>
  <si>
    <t>Compra pasaje Lilian asistenci taller C190</t>
  </si>
  <si>
    <t>MARIA TERESA SALINAS</t>
  </si>
  <si>
    <t>Descuento mal efectuado Loncura</t>
  </si>
  <si>
    <t>Pasaje Lilian Huanca miniolimpiadas Temuco</t>
  </si>
  <si>
    <t>Pasaje Lilian Huanca Reunión Corte Suprema, entrega tesoreria</t>
  </si>
  <si>
    <t>Directorio y consultivo deporte agosto</t>
  </si>
  <si>
    <t xml:space="preserve">CRISTINA SILVA </t>
  </si>
  <si>
    <t>Traslado uber reunion directorio agosto</t>
  </si>
  <si>
    <t>Gtos Movilizacion uber Reunion agosto</t>
  </si>
  <si>
    <t>Compra corona fallecimiento familiar sra M. Herrera</t>
  </si>
  <si>
    <t>Agosto</t>
  </si>
  <si>
    <t>Almacenimiento gigas correos agosto</t>
  </si>
  <si>
    <t>Mantención cabañas Coñaripe agosto</t>
  </si>
  <si>
    <t>Servicio audiovisual agosto</t>
  </si>
  <si>
    <t>Mantención jardín Loncura agosto</t>
  </si>
  <si>
    <t>Retiro y traslado galvanos concurso literario</t>
  </si>
  <si>
    <t>Envio Correspondencia julio y agosto</t>
  </si>
  <si>
    <t>Asesoria Mensual agosto</t>
  </si>
  <si>
    <t>Diferencia pasaje taller C190</t>
  </si>
  <si>
    <t>Mantención cabaña Mehuin agosto</t>
  </si>
  <si>
    <t>Pasaje Raquel Arias</t>
  </si>
  <si>
    <t>Asesoria  directorio sgosto</t>
  </si>
  <si>
    <t>AGOSTO  2023</t>
  </si>
  <si>
    <t>SALDO EN CTA. CTE. AL 31/08/2023</t>
  </si>
  <si>
    <t>RAQUEL ARIAS - JESSICA FUICA - CLAUDIA OPORTO</t>
  </si>
  <si>
    <t>DAQVIS RIQUELME</t>
  </si>
  <si>
    <t>LILIAN HUANCA - MARIANELA HERRERA</t>
  </si>
  <si>
    <t>DAVIS MONTOYA</t>
  </si>
  <si>
    <t>RAQUEL ARIAS - CLAUDIA OPORTO</t>
  </si>
  <si>
    <t>SANTIAGO, 26/09/2023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</si>
</sst>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1" fontId="7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81" fontId="12" fillId="0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181" fontId="5" fillId="34" borderId="17" xfId="0" applyNumberFormat="1" applyFont="1" applyFill="1" applyBorder="1" applyAlignment="1">
      <alignment horizontal="right"/>
    </xf>
    <xf numFmtId="181" fontId="5" fillId="34" borderId="14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81" fontId="7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181" fontId="5" fillId="34" borderId="27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7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7" fillId="33" borderId="36" xfId="0" applyNumberFormat="1" applyFont="1" applyFill="1" applyBorder="1" applyAlignment="1">
      <alignment horizontal="center"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9" fontId="2" fillId="0" borderId="49" xfId="55" applyFont="1" applyFill="1" applyBorder="1" applyAlignment="1">
      <alignment/>
    </xf>
    <xf numFmtId="181" fontId="15" fillId="0" borderId="0" xfId="0" applyNumberFormat="1" applyFont="1" applyFill="1" applyBorder="1" applyAlignment="1">
      <alignment horizontal="center"/>
    </xf>
    <xf numFmtId="181" fontId="3" fillId="0" borderId="41" xfId="0" applyNumberFormat="1" applyFont="1" applyFill="1" applyBorder="1" applyAlignment="1">
      <alignment/>
    </xf>
    <xf numFmtId="181" fontId="4" fillId="0" borderId="41" xfId="0" applyNumberFormat="1" applyFont="1" applyFill="1" applyBorder="1" applyAlignment="1">
      <alignment/>
    </xf>
    <xf numFmtId="181" fontId="4" fillId="0" borderId="50" xfId="0" applyNumberFormat="1" applyFont="1" applyFill="1" applyBorder="1" applyAlignment="1">
      <alignment/>
    </xf>
    <xf numFmtId="9" fontId="2" fillId="0" borderId="50" xfId="55" applyFont="1" applyFill="1" applyBorder="1" applyAlignment="1">
      <alignment/>
    </xf>
    <xf numFmtId="0" fontId="2" fillId="0" borderId="50" xfId="0" applyFont="1" applyFill="1" applyBorder="1" applyAlignment="1">
      <alignment/>
    </xf>
    <xf numFmtId="181" fontId="2" fillId="0" borderId="50" xfId="0" applyNumberFormat="1" applyFont="1" applyFill="1" applyBorder="1" applyAlignment="1">
      <alignment/>
    </xf>
    <xf numFmtId="9" fontId="3" fillId="0" borderId="50" xfId="55" applyFont="1" applyFill="1" applyBorder="1" applyAlignment="1">
      <alignment/>
    </xf>
    <xf numFmtId="0" fontId="2" fillId="0" borderId="51" xfId="0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0" fontId="0" fillId="0" borderId="4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87"/>
  <sheetViews>
    <sheetView tabSelected="1" zoomScale="110" zoomScaleNormal="110" zoomScalePageLayoutView="0" workbookViewId="0" topLeftCell="A1">
      <pane ySplit="7" topLeftCell="A171" activePane="bottomLeft" state="frozen"/>
      <selection pane="topLeft" activeCell="A1" sqref="A1"/>
      <selection pane="bottomLeft" activeCell="B186" sqref="B186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3" t="s">
        <v>16</v>
      </c>
      <c r="C4" s="2"/>
      <c r="D4" s="2"/>
      <c r="E4" s="3"/>
      <c r="F4" s="4"/>
      <c r="G4" s="4"/>
    </row>
    <row r="5" spans="2:7" ht="14.25">
      <c r="B5" s="24" t="s">
        <v>224</v>
      </c>
      <c r="C5" s="10"/>
      <c r="D5" s="10"/>
      <c r="E5" s="3"/>
      <c r="F5" s="4"/>
      <c r="G5" s="4"/>
    </row>
    <row r="6" spans="4:7" ht="12.75" thickBot="1">
      <c r="D6" s="18"/>
      <c r="E6" s="25"/>
      <c r="F6" s="26" t="s">
        <v>26</v>
      </c>
      <c r="G6" s="25">
        <v>166764427</v>
      </c>
    </row>
    <row r="7" spans="2:7" ht="24" customHeight="1" thickBot="1">
      <c r="B7" s="72" t="s">
        <v>0</v>
      </c>
      <c r="C7" s="55"/>
      <c r="D7" s="29" t="s">
        <v>43</v>
      </c>
      <c r="E7" s="72"/>
      <c r="F7" s="29" t="s">
        <v>1</v>
      </c>
      <c r="G7" s="29" t="s">
        <v>2</v>
      </c>
    </row>
    <row r="8" spans="1:7" ht="12" outlineLevel="2">
      <c r="A8" s="5"/>
      <c r="B8" s="81" t="s">
        <v>3</v>
      </c>
      <c r="C8" s="56"/>
      <c r="D8" s="69"/>
      <c r="E8" s="73"/>
      <c r="F8" s="71"/>
      <c r="G8" s="19"/>
    </row>
    <row r="9" spans="1:7" ht="11.25" outlineLevel="2">
      <c r="A9" s="5"/>
      <c r="B9" s="82"/>
      <c r="C9" s="56"/>
      <c r="D9" s="69"/>
      <c r="E9" s="74"/>
      <c r="F9" s="27"/>
      <c r="G9" s="20"/>
    </row>
    <row r="10" spans="1:7" ht="15.75" customHeight="1" outlineLevel="2">
      <c r="A10" s="5"/>
      <c r="B10" s="83" t="s">
        <v>4</v>
      </c>
      <c r="C10" s="31"/>
      <c r="D10" s="11"/>
      <c r="E10" s="21"/>
      <c r="F10" s="28">
        <f>SUM(E11:E29)</f>
        <v>23379106</v>
      </c>
      <c r="G10" s="21"/>
    </row>
    <row r="11" spans="1:7" ht="15" customHeight="1" hidden="1" outlineLevel="2">
      <c r="A11" s="5"/>
      <c r="B11" s="62" t="s">
        <v>32</v>
      </c>
      <c r="C11" s="30">
        <v>68</v>
      </c>
      <c r="D11" s="70"/>
      <c r="E11" s="67">
        <v>442000</v>
      </c>
      <c r="F11" s="6"/>
      <c r="G11" s="21"/>
    </row>
    <row r="12" spans="1:7" ht="15" customHeight="1" hidden="1" outlineLevel="2">
      <c r="A12" s="5"/>
      <c r="B12" s="62" t="s">
        <v>27</v>
      </c>
      <c r="C12" s="30">
        <v>95</v>
      </c>
      <c r="D12" s="70"/>
      <c r="E12" s="66">
        <v>611000</v>
      </c>
      <c r="F12" s="6"/>
      <c r="G12" s="21"/>
    </row>
    <row r="13" spans="1:7" ht="15" customHeight="1" hidden="1" outlineLevel="2">
      <c r="A13" s="5"/>
      <c r="B13" s="62" t="s">
        <v>30</v>
      </c>
      <c r="C13" s="30">
        <f>208</f>
        <v>208</v>
      </c>
      <c r="D13" s="70"/>
      <c r="E13" s="67">
        <f>1339000</f>
        <v>1339000</v>
      </c>
      <c r="F13" s="6"/>
      <c r="G13" s="21"/>
    </row>
    <row r="14" spans="1:7" ht="15" customHeight="1" hidden="1" outlineLevel="2">
      <c r="A14" s="5"/>
      <c r="B14" s="62" t="s">
        <v>33</v>
      </c>
      <c r="C14" s="30">
        <f>144+1</f>
        <v>145</v>
      </c>
      <c r="D14" s="70"/>
      <c r="E14" s="66">
        <v>1189506</v>
      </c>
      <c r="F14" s="6"/>
      <c r="G14" s="21"/>
    </row>
    <row r="15" spans="1:7" ht="15" customHeight="1" hidden="1" outlineLevel="2">
      <c r="A15" s="5"/>
      <c r="B15" s="62" t="s">
        <v>25</v>
      </c>
      <c r="C15" s="30">
        <f>145+1+1</f>
        <v>147</v>
      </c>
      <c r="D15" s="70"/>
      <c r="E15" s="67">
        <f>94500+2400+2400</f>
        <v>99300</v>
      </c>
      <c r="F15" s="6"/>
      <c r="G15" s="21"/>
    </row>
    <row r="16" spans="1:7" ht="15" customHeight="1" hidden="1" outlineLevel="2">
      <c r="A16" s="5"/>
      <c r="B16" s="62" t="s">
        <v>34</v>
      </c>
      <c r="C16" s="30">
        <f>1+1+1+1+414</f>
        <v>418</v>
      </c>
      <c r="D16" s="70"/>
      <c r="E16" s="67">
        <f>2400+2200+2400+6500+2691000</f>
        <v>2704500</v>
      </c>
      <c r="F16" s="6"/>
      <c r="G16" s="21"/>
    </row>
    <row r="17" spans="1:7" ht="15" customHeight="1" hidden="1" outlineLevel="2">
      <c r="A17" s="5"/>
      <c r="B17" s="62" t="s">
        <v>35</v>
      </c>
      <c r="C17" s="30">
        <f>1+1+1+1+1+490+1</f>
        <v>496</v>
      </c>
      <c r="D17" s="70"/>
      <c r="E17" s="67">
        <f>6500+26000+2400+2200+2200+3185000+2600</f>
        <v>3226900</v>
      </c>
      <c r="F17" s="6"/>
      <c r="G17" s="21"/>
    </row>
    <row r="18" spans="1:7" ht="15" customHeight="1" hidden="1" outlineLevel="2">
      <c r="A18" s="5"/>
      <c r="B18" s="62" t="s">
        <v>107</v>
      </c>
      <c r="C18" s="30">
        <f>1+48</f>
        <v>49</v>
      </c>
      <c r="D18" s="70"/>
      <c r="E18" s="67">
        <f>6500+318500</f>
        <v>325000</v>
      </c>
      <c r="F18" s="6"/>
      <c r="G18" s="21"/>
    </row>
    <row r="19" spans="1:7" ht="15" customHeight="1" hidden="1" outlineLevel="2">
      <c r="A19" s="5"/>
      <c r="B19" s="62" t="s">
        <v>106</v>
      </c>
      <c r="C19" s="30">
        <v>61</v>
      </c>
      <c r="D19" s="70"/>
      <c r="E19" s="67">
        <v>396500</v>
      </c>
      <c r="F19" s="6"/>
      <c r="G19" s="21"/>
    </row>
    <row r="20" spans="1:7" ht="15" customHeight="1" hidden="1" outlineLevel="2">
      <c r="A20" s="5"/>
      <c r="B20" s="62" t="s">
        <v>36</v>
      </c>
      <c r="C20" s="30">
        <f>1+302+1</f>
        <v>304</v>
      </c>
      <c r="D20" s="70"/>
      <c r="E20" s="67">
        <f>2600+1962800+2200</f>
        <v>1967600</v>
      </c>
      <c r="F20" s="6"/>
      <c r="G20" s="21"/>
    </row>
    <row r="21" spans="1:7" ht="15" customHeight="1" hidden="1" outlineLevel="2">
      <c r="A21" s="5"/>
      <c r="B21" s="62" t="s">
        <v>37</v>
      </c>
      <c r="C21" s="30">
        <f>1+1+132+1</f>
        <v>135</v>
      </c>
      <c r="D21" s="70"/>
      <c r="E21" s="67">
        <f>2200+2300+858000+13000</f>
        <v>875500</v>
      </c>
      <c r="F21" s="6"/>
      <c r="G21" s="21"/>
    </row>
    <row r="22" spans="1:7" ht="15" customHeight="1" hidden="1" outlineLevel="2">
      <c r="A22" s="5"/>
      <c r="B22" s="62" t="s">
        <v>38</v>
      </c>
      <c r="C22" s="30">
        <f>1+273</f>
        <v>274</v>
      </c>
      <c r="D22" s="70"/>
      <c r="E22" s="67">
        <f>2400+1774500</f>
        <v>1776900</v>
      </c>
      <c r="F22" s="6"/>
      <c r="G22" s="21"/>
    </row>
    <row r="23" spans="1:7" ht="15" customHeight="1" hidden="1" outlineLevel="2">
      <c r="A23" s="5"/>
      <c r="B23" s="62" t="s">
        <v>23</v>
      </c>
      <c r="C23" s="30">
        <f>1+100+1+1</f>
        <v>103</v>
      </c>
      <c r="D23" s="70"/>
      <c r="E23" s="67">
        <f>2600+650000+2200+2200</f>
        <v>657000</v>
      </c>
      <c r="F23" s="6"/>
      <c r="G23" s="21"/>
    </row>
    <row r="24" spans="1:7" ht="15" customHeight="1" hidden="1" outlineLevel="2">
      <c r="A24" s="5"/>
      <c r="B24" s="62" t="s">
        <v>39</v>
      </c>
      <c r="C24" s="30">
        <v>333</v>
      </c>
      <c r="D24" s="70"/>
      <c r="E24" s="67">
        <v>2164500</v>
      </c>
      <c r="F24" s="6"/>
      <c r="G24" s="21"/>
    </row>
    <row r="25" spans="1:7" ht="15" customHeight="1" hidden="1" outlineLevel="2">
      <c r="A25" s="5"/>
      <c r="B25" s="62" t="s">
        <v>28</v>
      </c>
      <c r="C25" s="30">
        <f>245</f>
        <v>245</v>
      </c>
      <c r="D25" s="70"/>
      <c r="E25" s="67">
        <f>1592500</f>
        <v>1592500</v>
      </c>
      <c r="F25" s="6"/>
      <c r="G25" s="21"/>
    </row>
    <row r="26" spans="1:7" ht="15" customHeight="1" hidden="1" outlineLevel="2">
      <c r="A26" s="5"/>
      <c r="B26" s="62" t="s">
        <v>40</v>
      </c>
      <c r="C26" s="30">
        <f>1+200+1</f>
        <v>202</v>
      </c>
      <c r="D26" s="70"/>
      <c r="E26" s="67">
        <f>26000+1300000+2400</f>
        <v>1328400</v>
      </c>
      <c r="F26" s="6"/>
      <c r="G26" s="21"/>
    </row>
    <row r="27" spans="1:7" ht="15" customHeight="1" hidden="1" outlineLevel="2">
      <c r="A27" s="5"/>
      <c r="B27" s="62" t="s">
        <v>29</v>
      </c>
      <c r="C27" s="30">
        <f>192</f>
        <v>192</v>
      </c>
      <c r="D27" s="70"/>
      <c r="E27" s="67">
        <v>1248000</v>
      </c>
      <c r="F27" s="6"/>
      <c r="G27" s="21"/>
    </row>
    <row r="28" spans="1:7" ht="15" customHeight="1" hidden="1" outlineLevel="2">
      <c r="A28" s="5"/>
      <c r="B28" s="62" t="s">
        <v>41</v>
      </c>
      <c r="C28" s="30">
        <f>113+1</f>
        <v>114</v>
      </c>
      <c r="D28" s="70"/>
      <c r="E28" s="67">
        <f>734500+6500</f>
        <v>741000</v>
      </c>
      <c r="F28" s="6"/>
      <c r="G28" s="21"/>
    </row>
    <row r="29" spans="1:7" ht="14.25" customHeight="1" hidden="1" outlineLevel="2">
      <c r="A29" s="5"/>
      <c r="B29" s="62" t="s">
        <v>42</v>
      </c>
      <c r="C29" s="30">
        <f>104+1</f>
        <v>105</v>
      </c>
      <c r="D29" s="70"/>
      <c r="E29" s="75">
        <f>18000+676000</f>
        <v>694000</v>
      </c>
      <c r="F29" s="6"/>
      <c r="G29" s="21"/>
    </row>
    <row r="30" spans="1:7" ht="12" customHeight="1" outlineLevel="2">
      <c r="A30" s="5"/>
      <c r="B30" s="84"/>
      <c r="C30" s="5"/>
      <c r="D30" s="60"/>
      <c r="E30" s="75"/>
      <c r="F30" s="6"/>
      <c r="G30" s="21"/>
    </row>
    <row r="31" spans="1:7" ht="15" customHeight="1" outlineLevel="2">
      <c r="A31" s="5"/>
      <c r="B31" s="83" t="s">
        <v>5</v>
      </c>
      <c r="C31" s="11"/>
      <c r="D31" s="60"/>
      <c r="E31" s="67"/>
      <c r="F31" s="6"/>
      <c r="G31" s="21"/>
    </row>
    <row r="32" spans="1:7" ht="15" customHeight="1" outlineLevel="2">
      <c r="A32" s="5"/>
      <c r="B32" s="62" t="s">
        <v>76</v>
      </c>
      <c r="C32" s="11"/>
      <c r="D32" s="5" t="s">
        <v>102</v>
      </c>
      <c r="E32" s="67">
        <f>26000+45500+52000+104000+78000+26000+26000+42000+34667+19500+130000+8667+13000+19500+34667+54166+20000+19500+42250+24000+13000+52000+39000+65000+30000</f>
        <v>1018417</v>
      </c>
      <c r="F32" s="6"/>
      <c r="G32" s="21"/>
    </row>
    <row r="33" spans="1:7" ht="15" customHeight="1" outlineLevel="2">
      <c r="A33" s="5"/>
      <c r="B33" s="62" t="s">
        <v>112</v>
      </c>
      <c r="C33" s="30"/>
      <c r="D33" s="5" t="s">
        <v>150</v>
      </c>
      <c r="E33" s="67">
        <f>57143+60000+4259+5977+44828</f>
        <v>172207</v>
      </c>
      <c r="F33" s="6"/>
      <c r="G33" s="21"/>
    </row>
    <row r="34" spans="1:7" ht="15" customHeight="1" outlineLevel="2">
      <c r="A34" s="5"/>
      <c r="B34" s="62" t="s">
        <v>145</v>
      </c>
      <c r="C34" s="30"/>
      <c r="D34" s="5" t="s">
        <v>146</v>
      </c>
      <c r="E34" s="67">
        <v>188717</v>
      </c>
      <c r="F34" s="6"/>
      <c r="G34" s="21"/>
    </row>
    <row r="35" spans="1:7" ht="15" customHeight="1" outlineLevel="2">
      <c r="A35" s="5"/>
      <c r="B35" s="62" t="s">
        <v>55</v>
      </c>
      <c r="C35" s="30"/>
      <c r="D35" s="5" t="s">
        <v>140</v>
      </c>
      <c r="E35" s="67">
        <v>1993</v>
      </c>
      <c r="F35" s="6"/>
      <c r="G35" s="21"/>
    </row>
    <row r="36" spans="1:7" ht="15" customHeight="1" outlineLevel="2">
      <c r="A36" s="5"/>
      <c r="B36" s="62" t="s">
        <v>55</v>
      </c>
      <c r="C36" s="30"/>
      <c r="D36" s="5" t="s">
        <v>138</v>
      </c>
      <c r="E36" s="67">
        <v>2854</v>
      </c>
      <c r="F36" s="6"/>
      <c r="G36" s="21"/>
    </row>
    <row r="37" spans="1:7" ht="15" customHeight="1" outlineLevel="2">
      <c r="A37" s="5"/>
      <c r="B37" s="62" t="s">
        <v>55</v>
      </c>
      <c r="C37" s="30"/>
      <c r="D37" s="5" t="s">
        <v>141</v>
      </c>
      <c r="E37" s="67">
        <v>12870</v>
      </c>
      <c r="F37" s="6"/>
      <c r="G37" s="21"/>
    </row>
    <row r="38" spans="1:7" ht="15" customHeight="1" outlineLevel="2">
      <c r="A38" s="5"/>
      <c r="B38" s="62" t="s">
        <v>55</v>
      </c>
      <c r="C38" s="30"/>
      <c r="D38" s="5" t="s">
        <v>142</v>
      </c>
      <c r="E38" s="67">
        <v>5240</v>
      </c>
      <c r="F38" s="6"/>
      <c r="G38" s="21"/>
    </row>
    <row r="39" spans="1:7" ht="15" customHeight="1" outlineLevel="2">
      <c r="A39" s="5"/>
      <c r="B39" s="62" t="s">
        <v>55</v>
      </c>
      <c r="C39" s="30"/>
      <c r="D39" s="5" t="s">
        <v>147</v>
      </c>
      <c r="E39" s="67">
        <v>115980</v>
      </c>
      <c r="F39" s="6"/>
      <c r="G39" s="21"/>
    </row>
    <row r="40" spans="1:7" ht="15" customHeight="1" outlineLevel="2">
      <c r="A40" s="5"/>
      <c r="B40" s="62" t="s">
        <v>55</v>
      </c>
      <c r="C40" s="30"/>
      <c r="D40" s="5" t="s">
        <v>143</v>
      </c>
      <c r="E40" s="67">
        <v>7103</v>
      </c>
      <c r="F40" s="6"/>
      <c r="G40" s="21"/>
    </row>
    <row r="41" spans="1:7" ht="15.75" customHeight="1" outlineLevel="2">
      <c r="A41" s="5"/>
      <c r="B41" s="62" t="s">
        <v>55</v>
      </c>
      <c r="C41" s="30"/>
      <c r="D41" s="5" t="s">
        <v>143</v>
      </c>
      <c r="E41" s="67">
        <v>7082</v>
      </c>
      <c r="F41" s="6"/>
      <c r="G41" s="21"/>
    </row>
    <row r="42" spans="1:7" ht="15.75" customHeight="1" outlineLevel="2">
      <c r="A42" s="5"/>
      <c r="B42" s="62" t="s">
        <v>55</v>
      </c>
      <c r="C42" s="30"/>
      <c r="D42" s="5" t="s">
        <v>148</v>
      </c>
      <c r="E42" s="67">
        <v>2730</v>
      </c>
      <c r="F42" s="6"/>
      <c r="G42" s="21"/>
    </row>
    <row r="43" spans="1:7" ht="15.75" customHeight="1" outlineLevel="2">
      <c r="A43" s="5"/>
      <c r="B43" s="62" t="s">
        <v>124</v>
      </c>
      <c r="C43" s="30"/>
      <c r="D43" s="5" t="s">
        <v>149</v>
      </c>
      <c r="E43" s="75">
        <v>231255</v>
      </c>
      <c r="F43" s="6">
        <f>SUM(E32:E43)</f>
        <v>1766448</v>
      </c>
      <c r="G43" s="21"/>
    </row>
    <row r="44" spans="1:7" ht="15" customHeight="1" outlineLevel="2">
      <c r="A44" s="5"/>
      <c r="B44" s="62"/>
      <c r="C44" s="30"/>
      <c r="D44" s="5"/>
      <c r="E44" s="67"/>
      <c r="F44" s="6"/>
      <c r="G44" s="21"/>
    </row>
    <row r="45" spans="1:7" ht="15" customHeight="1" outlineLevel="2">
      <c r="A45" s="5"/>
      <c r="B45" s="83" t="s">
        <v>123</v>
      </c>
      <c r="C45" s="30"/>
      <c r="D45" s="5"/>
      <c r="E45" s="67"/>
      <c r="F45" s="6"/>
      <c r="G45" s="21"/>
    </row>
    <row r="46" spans="1:7" ht="15" customHeight="1" outlineLevel="2">
      <c r="A46" s="5"/>
      <c r="B46" s="62" t="s">
        <v>124</v>
      </c>
      <c r="C46" s="30"/>
      <c r="D46" s="5" t="s">
        <v>144</v>
      </c>
      <c r="E46" s="75">
        <f>5440000+2730000+1200000+3150000+3255000+915000+1935000+675000+915000+450000+1725000+930000+150000+100000+100000+385000</f>
        <v>24055000</v>
      </c>
      <c r="F46" s="6">
        <f>E46</f>
        <v>24055000</v>
      </c>
      <c r="G46" s="21"/>
    </row>
    <row r="47" spans="1:7" ht="15" customHeight="1" outlineLevel="2">
      <c r="A47" s="5"/>
      <c r="B47" s="62"/>
      <c r="C47" s="30"/>
      <c r="D47" s="5"/>
      <c r="E47" s="67"/>
      <c r="F47" s="6"/>
      <c r="G47" s="21"/>
    </row>
    <row r="48" spans="1:7" ht="15" customHeight="1" outlineLevel="2">
      <c r="A48" s="5" t="s">
        <v>7</v>
      </c>
      <c r="B48" s="83" t="s">
        <v>8</v>
      </c>
      <c r="C48" s="31"/>
      <c r="D48" s="11"/>
      <c r="E48" s="67"/>
      <c r="F48" s="6"/>
      <c r="G48" s="21"/>
    </row>
    <row r="49" spans="1:7" ht="15" customHeight="1" outlineLevel="2">
      <c r="A49" s="5"/>
      <c r="B49" s="62" t="s">
        <v>100</v>
      </c>
      <c r="C49" s="31"/>
      <c r="D49" s="5" t="s">
        <v>101</v>
      </c>
      <c r="E49" s="67">
        <f>92000+155000+8000+100000+74000+115050+52000+59000+45540+427288+60720+151800+50600+50600+73640+50231+34155+70840+58600+60550+41750+177100+253700+1133878</f>
        <v>3396042</v>
      </c>
      <c r="F49" s="6"/>
      <c r="G49" s="21"/>
    </row>
    <row r="50" spans="1:7" ht="15" customHeight="1" outlineLevel="2">
      <c r="A50" s="5"/>
      <c r="B50" s="62" t="s">
        <v>139</v>
      </c>
      <c r="C50" s="31"/>
      <c r="D50" s="5" t="s">
        <v>101</v>
      </c>
      <c r="E50" s="67">
        <f>20000</f>
        <v>20000</v>
      </c>
      <c r="F50" s="6"/>
      <c r="G50" s="21"/>
    </row>
    <row r="51" spans="1:7" ht="15" customHeight="1" outlineLevel="2" thickBot="1">
      <c r="A51" s="5"/>
      <c r="B51" s="85" t="s">
        <v>75</v>
      </c>
      <c r="C51" s="31"/>
      <c r="D51" s="59" t="s">
        <v>101</v>
      </c>
      <c r="E51" s="112">
        <f>105000+35000+35000+35000+42000+42000+43750+36000+35000+35000+70000+35000+35000</f>
        <v>583750</v>
      </c>
      <c r="F51" s="98">
        <f>SUM(E49:E51)</f>
        <v>3999792</v>
      </c>
      <c r="G51" s="99"/>
    </row>
    <row r="52" spans="1:7" ht="12" outlineLevel="2">
      <c r="A52" s="5"/>
      <c r="B52" s="86" t="s">
        <v>9</v>
      </c>
      <c r="C52" s="77"/>
      <c r="D52" s="5"/>
      <c r="E52" s="62"/>
      <c r="F52" s="6"/>
      <c r="G52" s="66"/>
    </row>
    <row r="53" spans="1:7" ht="15" customHeight="1" outlineLevel="2">
      <c r="A53" s="5"/>
      <c r="B53" s="83" t="s">
        <v>10</v>
      </c>
      <c r="C53" s="78"/>
      <c r="D53" s="11"/>
      <c r="E53" s="67"/>
      <c r="F53" s="6"/>
      <c r="G53" s="66"/>
    </row>
    <row r="54" spans="1:7" ht="14.25" customHeight="1" outlineLevel="2">
      <c r="A54" s="5"/>
      <c r="B54" s="62" t="s">
        <v>58</v>
      </c>
      <c r="C54" s="78"/>
      <c r="D54" s="5" t="s">
        <v>161</v>
      </c>
      <c r="E54" s="67">
        <v>12360</v>
      </c>
      <c r="F54" s="6"/>
      <c r="G54" s="66"/>
    </row>
    <row r="55" spans="1:7" ht="14.25" customHeight="1" outlineLevel="2">
      <c r="A55" s="5"/>
      <c r="B55" s="62" t="s">
        <v>55</v>
      </c>
      <c r="C55" s="78"/>
      <c r="D55" s="5" t="s">
        <v>132</v>
      </c>
      <c r="E55" s="67">
        <v>9784</v>
      </c>
      <c r="F55" s="6"/>
      <c r="G55" s="66"/>
    </row>
    <row r="56" spans="1:7" ht="14.25" customHeight="1" outlineLevel="2">
      <c r="A56" s="5"/>
      <c r="B56" s="62" t="s">
        <v>55</v>
      </c>
      <c r="C56" s="78"/>
      <c r="D56" s="5" t="s">
        <v>217</v>
      </c>
      <c r="E56" s="67">
        <v>5789</v>
      </c>
      <c r="F56" s="6"/>
      <c r="G56" s="66"/>
    </row>
    <row r="57" spans="1:7" ht="14.25" customHeight="1" outlineLevel="2">
      <c r="A57" s="5"/>
      <c r="B57" s="62" t="s">
        <v>162</v>
      </c>
      <c r="C57" s="78"/>
      <c r="D57" s="5" t="s">
        <v>218</v>
      </c>
      <c r="E57" s="67">
        <f>8000+8000</f>
        <v>16000</v>
      </c>
      <c r="F57" s="6"/>
      <c r="G57" s="66"/>
    </row>
    <row r="58" spans="1:7" ht="14.25" customHeight="1" outlineLevel="2">
      <c r="A58" s="5"/>
      <c r="B58" s="62" t="s">
        <v>113</v>
      </c>
      <c r="C58" s="78"/>
      <c r="D58" s="5" t="s">
        <v>213</v>
      </c>
      <c r="E58" s="67">
        <v>60690</v>
      </c>
      <c r="F58" s="6"/>
      <c r="G58" s="66"/>
    </row>
    <row r="59" spans="1:7" ht="14.25" customHeight="1" outlineLevel="2">
      <c r="A59" s="5"/>
      <c r="B59" s="62" t="s">
        <v>113</v>
      </c>
      <c r="C59" s="78"/>
      <c r="D59" s="5" t="s">
        <v>219</v>
      </c>
      <c r="E59" s="67">
        <v>348000</v>
      </c>
      <c r="F59" s="6"/>
      <c r="G59" s="66"/>
    </row>
    <row r="60" spans="1:7" ht="14.25" customHeight="1" outlineLevel="2">
      <c r="A60" s="5"/>
      <c r="B60" s="62" t="s">
        <v>156</v>
      </c>
      <c r="C60" s="78"/>
      <c r="D60" s="5" t="s">
        <v>157</v>
      </c>
      <c r="E60" s="67">
        <f>61658+60987+61048</f>
        <v>183693</v>
      </c>
      <c r="F60" s="6"/>
      <c r="G60" s="66"/>
    </row>
    <row r="61" spans="1:7" ht="14.25" customHeight="1" outlineLevel="2">
      <c r="A61" s="5"/>
      <c r="B61" s="62" t="s">
        <v>103</v>
      </c>
      <c r="C61" s="78"/>
      <c r="D61" s="5" t="s">
        <v>171</v>
      </c>
      <c r="E61" s="67">
        <v>188717</v>
      </c>
      <c r="F61" s="6"/>
      <c r="G61" s="66"/>
    </row>
    <row r="62" spans="1:7" ht="15" customHeight="1" outlineLevel="2">
      <c r="A62" s="5"/>
      <c r="B62" s="62" t="s">
        <v>61</v>
      </c>
      <c r="C62" s="78"/>
      <c r="D62" s="5" t="s">
        <v>95</v>
      </c>
      <c r="E62" s="67">
        <v>269416</v>
      </c>
      <c r="F62" s="6"/>
      <c r="G62" s="66"/>
    </row>
    <row r="63" spans="1:7" ht="15" customHeight="1" outlineLevel="2">
      <c r="A63" s="5"/>
      <c r="B63" s="62" t="s">
        <v>68</v>
      </c>
      <c r="C63" s="78"/>
      <c r="D63" s="5" t="s">
        <v>92</v>
      </c>
      <c r="E63" s="67">
        <f>25763+63745+838</f>
        <v>90346</v>
      </c>
      <c r="F63" s="6"/>
      <c r="G63" s="66"/>
    </row>
    <row r="64" spans="1:7" ht="15" customHeight="1" outlineLevel="2">
      <c r="A64" s="5"/>
      <c r="B64" s="62" t="s">
        <v>22</v>
      </c>
      <c r="C64" s="78"/>
      <c r="D64" s="5" t="s">
        <v>78</v>
      </c>
      <c r="E64" s="67">
        <v>45930</v>
      </c>
      <c r="F64" s="6"/>
      <c r="G64" s="66"/>
    </row>
    <row r="65" spans="1:7" ht="15" customHeight="1" outlineLevel="2">
      <c r="A65" s="5"/>
      <c r="B65" s="62" t="s">
        <v>22</v>
      </c>
      <c r="C65" s="78"/>
      <c r="D65" s="5" t="s">
        <v>93</v>
      </c>
      <c r="E65" s="75">
        <v>100859</v>
      </c>
      <c r="F65" s="6"/>
      <c r="G65" s="66">
        <f>SUM(E54:E65)</f>
        <v>1331584</v>
      </c>
    </row>
    <row r="66" spans="1:7" ht="15" customHeight="1" outlineLevel="2">
      <c r="A66" s="5"/>
      <c r="B66" s="62"/>
      <c r="C66" s="78"/>
      <c r="D66" s="5"/>
      <c r="E66" s="75"/>
      <c r="F66" s="6"/>
      <c r="G66" s="66"/>
    </row>
    <row r="67" spans="1:7" ht="15" customHeight="1" outlineLevel="2">
      <c r="A67" s="5"/>
      <c r="B67" s="83" t="s">
        <v>8</v>
      </c>
      <c r="C67" s="78"/>
      <c r="D67" s="11"/>
      <c r="E67" s="67"/>
      <c r="F67" s="6"/>
      <c r="G67" s="66"/>
    </row>
    <row r="68" spans="1:7" s="106" customFormat="1" ht="16.5" customHeight="1" outlineLevel="2">
      <c r="A68" s="101"/>
      <c r="B68" s="102" t="s">
        <v>87</v>
      </c>
      <c r="C68" s="103"/>
      <c r="D68" s="101" t="s">
        <v>216</v>
      </c>
      <c r="E68" s="67">
        <v>125000</v>
      </c>
      <c r="F68" s="104"/>
      <c r="G68" s="105"/>
    </row>
    <row r="69" spans="1:7" s="106" customFormat="1" ht="16.5" customHeight="1" outlineLevel="2">
      <c r="A69" s="101"/>
      <c r="B69" s="102" t="s">
        <v>203</v>
      </c>
      <c r="C69" s="103"/>
      <c r="D69" s="101" t="s">
        <v>204</v>
      </c>
      <c r="E69" s="67">
        <v>151800</v>
      </c>
      <c r="F69" s="104"/>
      <c r="G69" s="105"/>
    </row>
    <row r="70" spans="1:7" s="106" customFormat="1" ht="16.5" customHeight="1" outlineLevel="2">
      <c r="A70" s="101"/>
      <c r="B70" s="102" t="s">
        <v>135</v>
      </c>
      <c r="C70" s="103"/>
      <c r="D70" s="101" t="s">
        <v>136</v>
      </c>
      <c r="E70" s="67">
        <v>79500</v>
      </c>
      <c r="F70" s="104"/>
      <c r="G70" s="105"/>
    </row>
    <row r="71" spans="1:7" s="106" customFormat="1" ht="16.5" customHeight="1" outlineLevel="2">
      <c r="A71" s="101"/>
      <c r="B71" s="102" t="s">
        <v>67</v>
      </c>
      <c r="C71" s="103"/>
      <c r="D71" s="101" t="s">
        <v>188</v>
      </c>
      <c r="E71" s="67">
        <f>5000+10000</f>
        <v>15000</v>
      </c>
      <c r="F71"/>
      <c r="G71" s="105"/>
    </row>
    <row r="72" spans="1:7" s="106" customFormat="1" ht="16.5" customHeight="1" outlineLevel="2">
      <c r="A72" s="101"/>
      <c r="B72" s="102" t="s">
        <v>158</v>
      </c>
      <c r="C72" s="103"/>
      <c r="D72" s="101" t="s">
        <v>159</v>
      </c>
      <c r="E72" s="67">
        <v>13209</v>
      </c>
      <c r="F72" s="104"/>
      <c r="G72" s="105"/>
    </row>
    <row r="73" spans="1:7" s="106" customFormat="1" ht="16.5" customHeight="1" outlineLevel="2">
      <c r="A73" s="101"/>
      <c r="B73" s="102" t="s">
        <v>109</v>
      </c>
      <c r="C73" s="103"/>
      <c r="D73" s="101" t="s">
        <v>110</v>
      </c>
      <c r="E73" s="67">
        <v>3332</v>
      </c>
      <c r="F73" s="104"/>
      <c r="G73" s="105"/>
    </row>
    <row r="74" spans="1:7" s="106" customFormat="1" ht="16.5" customHeight="1" outlineLevel="2">
      <c r="A74" s="101"/>
      <c r="B74" s="102" t="s">
        <v>84</v>
      </c>
      <c r="C74" s="103"/>
      <c r="D74" s="101" t="s">
        <v>122</v>
      </c>
      <c r="E74" s="67">
        <v>300000</v>
      </c>
      <c r="F74"/>
      <c r="G74" s="105"/>
    </row>
    <row r="75" spans="1:7" s="106" customFormat="1" ht="16.5" customHeight="1" outlineLevel="2">
      <c r="A75" s="101"/>
      <c r="B75" s="102" t="s">
        <v>114</v>
      </c>
      <c r="C75" s="103"/>
      <c r="D75" s="101" t="s">
        <v>115</v>
      </c>
      <c r="E75" s="67">
        <v>28102</v>
      </c>
      <c r="F75"/>
      <c r="G75" s="105"/>
    </row>
    <row r="76" spans="1:7" ht="15" customHeight="1" outlineLevel="2">
      <c r="A76" s="5"/>
      <c r="B76" s="107" t="s">
        <v>85</v>
      </c>
      <c r="C76" s="5"/>
      <c r="D76" s="108" t="s">
        <v>221</v>
      </c>
      <c r="E76" s="67">
        <v>25000</v>
      </c>
      <c r="F76" s="104"/>
      <c r="G76" s="105"/>
    </row>
    <row r="77" spans="1:7" ht="15" customHeight="1" outlineLevel="2">
      <c r="A77" s="5"/>
      <c r="B77" s="62" t="s">
        <v>77</v>
      </c>
      <c r="C77" s="5"/>
      <c r="D77" s="101" t="s">
        <v>214</v>
      </c>
      <c r="E77" s="67">
        <v>120000</v>
      </c>
      <c r="F77" s="104"/>
      <c r="G77" s="105"/>
    </row>
    <row r="78" spans="1:7" ht="15" customHeight="1" outlineLevel="2">
      <c r="A78" s="5"/>
      <c r="B78" s="62" t="s">
        <v>116</v>
      </c>
      <c r="C78" s="5"/>
      <c r="D78" s="101" t="s">
        <v>117</v>
      </c>
      <c r="E78" s="67">
        <v>19988</v>
      </c>
      <c r="F78" s="104"/>
      <c r="G78" s="105"/>
    </row>
    <row r="79" spans="1:7" ht="15" customHeight="1" outlineLevel="2">
      <c r="A79" s="5"/>
      <c r="B79" s="62" t="s">
        <v>74</v>
      </c>
      <c r="C79" s="78"/>
      <c r="D79" s="5" t="s">
        <v>91</v>
      </c>
      <c r="E79" s="67">
        <v>542591</v>
      </c>
      <c r="F79" s="6"/>
      <c r="G79" s="105"/>
    </row>
    <row r="80" spans="1:7" ht="15" customHeight="1" outlineLevel="2">
      <c r="A80" s="5"/>
      <c r="B80" s="62" t="s">
        <v>53</v>
      </c>
      <c r="C80" s="78"/>
      <c r="D80" s="5" t="s">
        <v>94</v>
      </c>
      <c r="E80" s="75">
        <f>6900+90700</f>
        <v>97600</v>
      </c>
      <c r="F80" s="6"/>
      <c r="G80" s="66">
        <f>SUM(E68:E80)</f>
        <v>1521122</v>
      </c>
    </row>
    <row r="81" spans="1:7" ht="15" customHeight="1" outlineLevel="2">
      <c r="A81" s="5"/>
      <c r="B81" s="62"/>
      <c r="C81" s="78"/>
      <c r="D81" s="5"/>
      <c r="E81" s="75"/>
      <c r="F81" s="6"/>
      <c r="G81" s="105"/>
    </row>
    <row r="82" spans="1:7" ht="15" customHeight="1" outlineLevel="2">
      <c r="A82" s="5"/>
      <c r="B82" s="83" t="s">
        <v>17</v>
      </c>
      <c r="C82" s="78"/>
      <c r="D82" s="5"/>
      <c r="E82" s="67"/>
      <c r="F82" s="6"/>
      <c r="G82" s="66"/>
    </row>
    <row r="83" spans="1:7" ht="15" customHeight="1" outlineLevel="2">
      <c r="A83" s="5"/>
      <c r="B83" s="62" t="s">
        <v>21</v>
      </c>
      <c r="C83" s="78"/>
      <c r="D83" s="5" t="s">
        <v>167</v>
      </c>
      <c r="E83" s="75">
        <v>1931902</v>
      </c>
      <c r="F83" s="6"/>
      <c r="G83" s="66">
        <f>SUM(E83:F83)</f>
        <v>1931902</v>
      </c>
    </row>
    <row r="84" spans="1:7" ht="15" customHeight="1" outlineLevel="2">
      <c r="A84" s="5"/>
      <c r="B84" s="62"/>
      <c r="C84" s="78"/>
      <c r="D84" s="5"/>
      <c r="E84" s="75"/>
      <c r="F84" s="6"/>
      <c r="G84" s="66"/>
    </row>
    <row r="85" spans="1:7" ht="15" customHeight="1" outlineLevel="2">
      <c r="A85" s="5"/>
      <c r="B85" s="62"/>
      <c r="C85" s="78"/>
      <c r="D85" s="5"/>
      <c r="E85" s="75"/>
      <c r="F85" s="6"/>
      <c r="G85" s="66"/>
    </row>
    <row r="86" spans="1:7" ht="15" customHeight="1" outlineLevel="2" thickBot="1">
      <c r="A86" s="5"/>
      <c r="B86" s="114"/>
      <c r="C86" s="117"/>
      <c r="D86" s="57"/>
      <c r="E86" s="112"/>
      <c r="F86" s="65"/>
      <c r="G86" s="118"/>
    </row>
    <row r="87" spans="1:7" ht="15" customHeight="1" outlineLevel="2">
      <c r="A87" s="5"/>
      <c r="B87" s="83" t="s">
        <v>90</v>
      </c>
      <c r="C87" s="78"/>
      <c r="D87" s="5"/>
      <c r="E87" s="75"/>
      <c r="F87" s="6"/>
      <c r="G87" s="66"/>
    </row>
    <row r="88" spans="1:7" ht="15" customHeight="1" outlineLevel="2">
      <c r="A88" s="5"/>
      <c r="B88" s="62" t="s">
        <v>55</v>
      </c>
      <c r="C88" s="78"/>
      <c r="D88" s="5" t="s">
        <v>154</v>
      </c>
      <c r="E88" s="67">
        <v>155000</v>
      </c>
      <c r="F88" s="6"/>
      <c r="G88" s="66"/>
    </row>
    <row r="89" spans="1:7" ht="15" customHeight="1" outlineLevel="2">
      <c r="A89" s="5"/>
      <c r="B89" s="62" t="s">
        <v>55</v>
      </c>
      <c r="C89" s="78"/>
      <c r="D89" s="5" t="s">
        <v>155</v>
      </c>
      <c r="E89" s="67">
        <v>130000</v>
      </c>
      <c r="F89" s="6"/>
      <c r="G89" s="66"/>
    </row>
    <row r="90" spans="1:7" ht="15" customHeight="1" outlineLevel="2">
      <c r="A90" s="5"/>
      <c r="B90" s="62" t="s">
        <v>55</v>
      </c>
      <c r="C90" s="78"/>
      <c r="D90" s="5" t="s">
        <v>170</v>
      </c>
      <c r="E90" s="67">
        <v>120000</v>
      </c>
      <c r="F90" s="6"/>
      <c r="G90" s="66"/>
    </row>
    <row r="91" spans="1:7" ht="15" customHeight="1" outlineLevel="2">
      <c r="A91" s="5"/>
      <c r="B91" s="62" t="s">
        <v>55</v>
      </c>
      <c r="C91" s="78"/>
      <c r="D91" s="5" t="s">
        <v>194</v>
      </c>
      <c r="E91" s="67">
        <v>170000</v>
      </c>
      <c r="F91" s="6"/>
      <c r="G91" s="66"/>
    </row>
    <row r="92" spans="1:7" ht="15" customHeight="1" outlineLevel="2">
      <c r="A92" s="5"/>
      <c r="B92" s="62" t="s">
        <v>55</v>
      </c>
      <c r="C92" s="78"/>
      <c r="D92" s="5" t="s">
        <v>202</v>
      </c>
      <c r="E92" s="67">
        <v>160000</v>
      </c>
      <c r="F92" s="6"/>
      <c r="G92" s="66"/>
    </row>
    <row r="93" spans="1:7" ht="15" customHeight="1" outlineLevel="2">
      <c r="A93" s="5"/>
      <c r="B93" s="62" t="s">
        <v>55</v>
      </c>
      <c r="C93" s="78"/>
      <c r="D93" s="5" t="s">
        <v>222</v>
      </c>
      <c r="E93" s="67">
        <v>86000</v>
      </c>
      <c r="F93" s="6"/>
      <c r="G93" s="66"/>
    </row>
    <row r="94" spans="1:7" ht="15" customHeight="1" outlineLevel="2">
      <c r="A94" s="5"/>
      <c r="B94" s="62" t="s">
        <v>55</v>
      </c>
      <c r="C94" s="78"/>
      <c r="D94" s="5" t="s">
        <v>174</v>
      </c>
      <c r="E94" s="67">
        <v>120000</v>
      </c>
      <c r="F94" s="6"/>
      <c r="G94" s="66"/>
    </row>
    <row r="95" spans="1:7" ht="15" customHeight="1" outlineLevel="2">
      <c r="A95" s="5"/>
      <c r="B95" s="62" t="s">
        <v>55</v>
      </c>
      <c r="C95" s="78"/>
      <c r="D95" s="5" t="s">
        <v>175</v>
      </c>
      <c r="E95" s="75">
        <v>200000</v>
      </c>
      <c r="F95" s="6"/>
      <c r="G95" s="66">
        <f>SUM(E88:E95)</f>
        <v>1141000</v>
      </c>
    </row>
    <row r="96" spans="1:7" ht="15" customHeight="1" outlineLevel="2">
      <c r="A96" s="5"/>
      <c r="B96" s="62"/>
      <c r="C96" s="78"/>
      <c r="D96" s="5"/>
      <c r="E96" s="67"/>
      <c r="F96" s="6"/>
      <c r="G96" s="66"/>
    </row>
    <row r="97" spans="1:7" ht="15" customHeight="1" outlineLevel="2">
      <c r="A97" s="5"/>
      <c r="B97" s="83" t="s">
        <v>52</v>
      </c>
      <c r="C97" s="78"/>
      <c r="D97" s="75"/>
      <c r="E97" s="75"/>
      <c r="F97" s="66"/>
      <c r="G97" s="66"/>
    </row>
    <row r="98" spans="1:7" ht="15" customHeight="1" outlineLevel="2">
      <c r="A98" s="5"/>
      <c r="B98" s="62" t="s">
        <v>60</v>
      </c>
      <c r="C98" s="78"/>
      <c r="D98" s="5" t="s">
        <v>164</v>
      </c>
      <c r="E98" s="67">
        <v>1000000</v>
      </c>
      <c r="F98" s="6"/>
      <c r="G98" s="66"/>
    </row>
    <row r="99" spans="1:7" ht="15" customHeight="1" outlineLevel="2">
      <c r="A99" s="5"/>
      <c r="B99" s="62" t="s">
        <v>89</v>
      </c>
      <c r="C99" s="78"/>
      <c r="D99" s="5" t="s">
        <v>223</v>
      </c>
      <c r="E99" s="67">
        <v>777955</v>
      </c>
      <c r="F99" s="6"/>
      <c r="G99" s="66"/>
    </row>
    <row r="100" spans="1:7" ht="15" customHeight="1" outlineLevel="2">
      <c r="A100" s="5"/>
      <c r="B100" s="62" t="s">
        <v>126</v>
      </c>
      <c r="C100" s="78"/>
      <c r="D100" s="5" t="s">
        <v>184</v>
      </c>
      <c r="E100" s="67">
        <v>1000000</v>
      </c>
      <c r="F100" s="6"/>
      <c r="G100" s="66"/>
    </row>
    <row r="101" spans="1:7" ht="15" customHeight="1" outlineLevel="2">
      <c r="A101" s="5"/>
      <c r="B101" s="62" t="s">
        <v>129</v>
      </c>
      <c r="C101" s="78"/>
      <c r="D101" s="5" t="s">
        <v>215</v>
      </c>
      <c r="E101" s="67">
        <v>450000</v>
      </c>
      <c r="F101" s="6"/>
      <c r="G101" s="66"/>
    </row>
    <row r="102" spans="1:7" ht="15" customHeight="1" outlineLevel="2">
      <c r="A102" s="5"/>
      <c r="B102" s="62" t="s">
        <v>119</v>
      </c>
      <c r="C102" s="78"/>
      <c r="D102" s="5" t="s">
        <v>120</v>
      </c>
      <c r="E102" s="67">
        <v>1000500</v>
      </c>
      <c r="F102" s="6"/>
      <c r="G102" s="66"/>
    </row>
    <row r="103" spans="1:7" ht="15" customHeight="1" outlineLevel="2">
      <c r="A103" s="5"/>
      <c r="B103" s="62" t="s">
        <v>111</v>
      </c>
      <c r="C103" s="78"/>
      <c r="D103" s="5" t="s">
        <v>192</v>
      </c>
      <c r="E103" s="75">
        <v>1149425</v>
      </c>
      <c r="F103" s="6"/>
      <c r="G103" s="66">
        <f>SUM(E98:E103)</f>
        <v>5377880</v>
      </c>
    </row>
    <row r="104" spans="1:7" ht="15" customHeight="1" outlineLevel="2">
      <c r="A104" s="5"/>
      <c r="B104" s="62"/>
      <c r="C104" s="78"/>
      <c r="D104" s="5"/>
      <c r="E104" s="75"/>
      <c r="F104" s="6"/>
      <c r="G104" s="66"/>
    </row>
    <row r="105" spans="1:7" ht="15" customHeight="1" outlineLevel="2">
      <c r="A105" s="5"/>
      <c r="B105" s="83" t="s">
        <v>18</v>
      </c>
      <c r="C105" s="78"/>
      <c r="D105" s="5"/>
      <c r="E105" s="67"/>
      <c r="F105" s="6"/>
      <c r="G105" s="66"/>
    </row>
    <row r="106" spans="1:7" ht="15" customHeight="1" outlineLevel="2">
      <c r="A106" s="5"/>
      <c r="B106" s="62" t="s">
        <v>133</v>
      </c>
      <c r="C106" s="78"/>
      <c r="D106" s="5" t="s">
        <v>185</v>
      </c>
      <c r="E106" s="67">
        <v>138400</v>
      </c>
      <c r="F106" s="6"/>
      <c r="G106" s="66"/>
    </row>
    <row r="107" spans="1:7" ht="15" customHeight="1" outlineLevel="2">
      <c r="A107" s="5"/>
      <c r="B107" s="62" t="s">
        <v>133</v>
      </c>
      <c r="C107" s="78"/>
      <c r="D107" s="5" t="s">
        <v>153</v>
      </c>
      <c r="E107" s="67">
        <v>162000</v>
      </c>
      <c r="F107" s="6"/>
      <c r="G107" s="66"/>
    </row>
    <row r="108" spans="1:7" ht="15" customHeight="1" outlineLevel="2">
      <c r="A108" s="5"/>
      <c r="B108" s="62" t="s">
        <v>133</v>
      </c>
      <c r="C108" s="78"/>
      <c r="D108" s="5" t="s">
        <v>193</v>
      </c>
      <c r="E108" s="67">
        <v>20000</v>
      </c>
      <c r="F108" s="6"/>
      <c r="G108" s="66"/>
    </row>
    <row r="109" spans="1:7" ht="15" customHeight="1" outlineLevel="2">
      <c r="A109" s="5"/>
      <c r="B109" s="62" t="s">
        <v>105</v>
      </c>
      <c r="C109" s="78"/>
      <c r="D109" s="5" t="s">
        <v>199</v>
      </c>
      <c r="E109" s="67">
        <v>51900</v>
      </c>
      <c r="F109" s="6"/>
      <c r="G109" s="66"/>
    </row>
    <row r="110" spans="1:7" ht="15" customHeight="1" outlineLevel="2">
      <c r="A110" s="5"/>
      <c r="B110" s="62" t="s">
        <v>121</v>
      </c>
      <c r="C110" s="78"/>
      <c r="D110" s="5" t="s">
        <v>160</v>
      </c>
      <c r="E110" s="67">
        <v>80000</v>
      </c>
      <c r="F110" s="6"/>
      <c r="G110" s="66"/>
    </row>
    <row r="111" spans="1:7" ht="15" customHeight="1" outlineLevel="2">
      <c r="A111" s="5"/>
      <c r="B111" s="62" t="s">
        <v>88</v>
      </c>
      <c r="C111" s="78"/>
      <c r="D111" s="5" t="s">
        <v>185</v>
      </c>
      <c r="E111" s="67">
        <v>63250</v>
      </c>
      <c r="F111" s="6"/>
      <c r="G111" s="66"/>
    </row>
    <row r="112" spans="1:7" ht="15" customHeight="1" outlineLevel="2">
      <c r="A112" s="5"/>
      <c r="B112" s="63" t="s">
        <v>19</v>
      </c>
      <c r="C112" s="78"/>
      <c r="D112" s="5"/>
      <c r="E112" s="67"/>
      <c r="F112" s="6"/>
      <c r="G112" s="66"/>
    </row>
    <row r="113" spans="1:7" s="106" customFormat="1" ht="16.5" customHeight="1" outlineLevel="2">
      <c r="A113" s="101"/>
      <c r="B113" s="102" t="s">
        <v>181</v>
      </c>
      <c r="C113" s="103"/>
      <c r="D113" s="101" t="s">
        <v>182</v>
      </c>
      <c r="E113" s="67">
        <v>71583</v>
      </c>
      <c r="F113" s="104"/>
      <c r="G113" s="105"/>
    </row>
    <row r="114" spans="1:7" s="106" customFormat="1" ht="16.5" customHeight="1" outlineLevel="2">
      <c r="A114" s="101"/>
      <c r="B114" s="102" t="s">
        <v>108</v>
      </c>
      <c r="C114" s="103"/>
      <c r="D114" s="101" t="s">
        <v>210</v>
      </c>
      <c r="E114" s="67">
        <v>7410</v>
      </c>
      <c r="F114" s="104"/>
      <c r="G114" s="105"/>
    </row>
    <row r="115" spans="1:7" s="106" customFormat="1" ht="16.5" customHeight="1" outlineLevel="2">
      <c r="A115" s="101"/>
      <c r="B115" s="102" t="s">
        <v>208</v>
      </c>
      <c r="C115" s="103"/>
      <c r="D115" s="101" t="s">
        <v>209</v>
      </c>
      <c r="E115" s="67">
        <v>5044</v>
      </c>
      <c r="F115" s="104"/>
      <c r="G115" s="105"/>
    </row>
    <row r="116" spans="1:7" s="106" customFormat="1" ht="16.5" customHeight="1" outlineLevel="2">
      <c r="A116" s="101"/>
      <c r="B116" s="102" t="s">
        <v>176</v>
      </c>
      <c r="C116" s="103"/>
      <c r="D116" s="101" t="s">
        <v>177</v>
      </c>
      <c r="E116" s="67">
        <v>135000</v>
      </c>
      <c r="F116" s="104"/>
      <c r="G116" s="105"/>
    </row>
    <row r="117" spans="1:7" s="106" customFormat="1" ht="16.5" customHeight="1" outlineLevel="2">
      <c r="A117" s="101"/>
      <c r="B117" s="102" t="s">
        <v>72</v>
      </c>
      <c r="C117" s="103"/>
      <c r="D117" s="101" t="s">
        <v>151</v>
      </c>
      <c r="E117" s="67">
        <v>83973</v>
      </c>
      <c r="F117" s="104"/>
      <c r="G117" s="105"/>
    </row>
    <row r="118" spans="1:7" s="106" customFormat="1" ht="16.5" customHeight="1" outlineLevel="2">
      <c r="A118" s="101"/>
      <c r="B118" s="102" t="s">
        <v>72</v>
      </c>
      <c r="C118" s="103"/>
      <c r="D118" s="101" t="s">
        <v>152</v>
      </c>
      <c r="E118" s="67">
        <v>357627</v>
      </c>
      <c r="F118" s="104"/>
      <c r="G118" s="105"/>
    </row>
    <row r="119" spans="1:7" s="106" customFormat="1" ht="16.5" customHeight="1" outlineLevel="2">
      <c r="A119" s="101"/>
      <c r="B119" s="102" t="s">
        <v>72</v>
      </c>
      <c r="C119" s="103"/>
      <c r="D119" s="5" t="s">
        <v>207</v>
      </c>
      <c r="E119" s="67">
        <v>958952</v>
      </c>
      <c r="F119" s="104"/>
      <c r="G119" s="105"/>
    </row>
    <row r="120" spans="1:7" s="106" customFormat="1" ht="16.5" customHeight="1" outlineLevel="2" thickBot="1">
      <c r="A120" s="101"/>
      <c r="B120" s="113" t="s">
        <v>67</v>
      </c>
      <c r="C120" s="103"/>
      <c r="D120" s="114" t="s">
        <v>166</v>
      </c>
      <c r="E120" s="115">
        <v>15693</v>
      </c>
      <c r="F120" s="116"/>
      <c r="G120" s="116"/>
    </row>
    <row r="121" spans="1:7" s="106" customFormat="1" ht="16.5" customHeight="1" outlineLevel="2">
      <c r="A121" s="101"/>
      <c r="B121" s="102" t="s">
        <v>67</v>
      </c>
      <c r="C121" s="103"/>
      <c r="D121" s="5" t="s">
        <v>205</v>
      </c>
      <c r="E121" s="67">
        <v>142746</v>
      </c>
      <c r="F121" s="104"/>
      <c r="G121" s="105"/>
    </row>
    <row r="122" spans="1:7" s="106" customFormat="1" ht="16.5" customHeight="1" outlineLevel="2">
      <c r="A122" s="101"/>
      <c r="B122" s="102" t="s">
        <v>67</v>
      </c>
      <c r="C122" s="103"/>
      <c r="D122" s="5" t="s">
        <v>206</v>
      </c>
      <c r="E122" s="67">
        <v>183746</v>
      </c>
      <c r="F122" s="104"/>
      <c r="G122" s="105"/>
    </row>
    <row r="123" spans="1:7" s="106" customFormat="1" ht="16.5" customHeight="1" outlineLevel="2">
      <c r="A123" s="101"/>
      <c r="B123" s="102" t="s">
        <v>129</v>
      </c>
      <c r="C123" s="103"/>
      <c r="D123" s="5" t="s">
        <v>178</v>
      </c>
      <c r="E123" s="67">
        <v>89687</v>
      </c>
      <c r="F123" s="104"/>
      <c r="G123" s="105"/>
    </row>
    <row r="124" spans="1:7" s="106" customFormat="1" ht="16.5" customHeight="1" outlineLevel="2">
      <c r="A124" s="101"/>
      <c r="B124" s="102" t="s">
        <v>55</v>
      </c>
      <c r="C124" s="103"/>
      <c r="D124" s="5" t="s">
        <v>183</v>
      </c>
      <c r="E124" s="67">
        <v>673</v>
      </c>
      <c r="F124" s="104"/>
      <c r="G124" s="105"/>
    </row>
    <row r="125" spans="1:7" s="106" customFormat="1" ht="16.5" customHeight="1" outlineLevel="2">
      <c r="A125" s="101"/>
      <c r="B125" s="102" t="s">
        <v>55</v>
      </c>
      <c r="C125" s="103"/>
      <c r="D125" s="5" t="s">
        <v>220</v>
      </c>
      <c r="E125" s="67">
        <v>22556</v>
      </c>
      <c r="F125" s="104"/>
      <c r="G125" s="105"/>
    </row>
    <row r="126" spans="1:7" s="106" customFormat="1" ht="16.5" customHeight="1" outlineLevel="2">
      <c r="A126" s="101"/>
      <c r="B126" s="102" t="s">
        <v>186</v>
      </c>
      <c r="C126" s="103"/>
      <c r="D126" s="101" t="s">
        <v>187</v>
      </c>
      <c r="E126" s="67">
        <v>38083</v>
      </c>
      <c r="F126"/>
      <c r="G126" s="105"/>
    </row>
    <row r="127" spans="1:7" s="106" customFormat="1" ht="16.5" customHeight="1" outlineLevel="2">
      <c r="A127" s="101"/>
      <c r="B127" s="102" t="s">
        <v>168</v>
      </c>
      <c r="C127" s="103"/>
      <c r="D127" s="5" t="s">
        <v>169</v>
      </c>
      <c r="E127" s="67">
        <v>50000</v>
      </c>
      <c r="F127" s="104"/>
      <c r="G127" s="105"/>
    </row>
    <row r="128" spans="1:7" s="106" customFormat="1" ht="16.5" customHeight="1" outlineLevel="2">
      <c r="A128" s="101"/>
      <c r="B128" s="102" t="s">
        <v>131</v>
      </c>
      <c r="C128" s="103"/>
      <c r="D128" s="101" t="s">
        <v>165</v>
      </c>
      <c r="E128" s="75">
        <v>335000</v>
      </c>
      <c r="F128" s="104"/>
      <c r="G128" s="66">
        <f>SUM(E106:E128)</f>
        <v>3013323</v>
      </c>
    </row>
    <row r="129" spans="1:7" ht="15" customHeight="1" outlineLevel="2" thickBot="1">
      <c r="A129" s="5"/>
      <c r="B129" s="62"/>
      <c r="C129" s="100"/>
      <c r="D129" s="62"/>
      <c r="E129" s="75"/>
      <c r="F129" s="66"/>
      <c r="G129" s="66"/>
    </row>
    <row r="130" spans="1:7" ht="15.75" customHeight="1" outlineLevel="2">
      <c r="A130" s="5"/>
      <c r="B130" s="83" t="s">
        <v>6</v>
      </c>
      <c r="C130" s="78"/>
      <c r="D130" s="5"/>
      <c r="E130" s="75"/>
      <c r="F130" s="6"/>
      <c r="G130" s="66"/>
    </row>
    <row r="131" spans="2:7" s="5" customFormat="1" ht="15" customHeight="1" outlineLevel="2">
      <c r="B131" s="62" t="s">
        <v>134</v>
      </c>
      <c r="C131" s="78"/>
      <c r="D131" s="5" t="s">
        <v>189</v>
      </c>
      <c r="E131" s="67">
        <v>572688</v>
      </c>
      <c r="F131" s="8"/>
      <c r="G131" s="67"/>
    </row>
    <row r="132" spans="2:7" s="5" customFormat="1" ht="15" customHeight="1" outlineLevel="2">
      <c r="B132" s="62" t="s">
        <v>134</v>
      </c>
      <c r="C132" s="78"/>
      <c r="D132" s="5" t="s">
        <v>190</v>
      </c>
      <c r="E132" s="67">
        <v>418880</v>
      </c>
      <c r="F132" s="8"/>
      <c r="G132" s="67"/>
    </row>
    <row r="133" spans="2:7" s="5" customFormat="1" ht="15" customHeight="1" outlineLevel="2">
      <c r="B133" s="62" t="s">
        <v>134</v>
      </c>
      <c r="C133" s="78"/>
      <c r="D133" s="5" t="s">
        <v>191</v>
      </c>
      <c r="E133" s="67">
        <v>773500</v>
      </c>
      <c r="F133" s="8"/>
      <c r="G133" s="67"/>
    </row>
    <row r="134" spans="2:7" s="5" customFormat="1" ht="15.75" customHeight="1" outlineLevel="2">
      <c r="B134" s="62" t="s">
        <v>134</v>
      </c>
      <c r="C134" s="78"/>
      <c r="D134" s="5" t="s">
        <v>195</v>
      </c>
      <c r="E134" s="67">
        <v>972587</v>
      </c>
      <c r="F134" s="8"/>
      <c r="G134" s="67"/>
    </row>
    <row r="135" spans="2:7" s="5" customFormat="1" ht="15.75" customHeight="1" outlineLevel="2">
      <c r="B135" s="62" t="s">
        <v>134</v>
      </c>
      <c r="C135" s="78"/>
      <c r="D135" s="5" t="s">
        <v>198</v>
      </c>
      <c r="E135" s="67">
        <v>314160</v>
      </c>
      <c r="F135" s="8"/>
      <c r="G135" s="67"/>
    </row>
    <row r="136" spans="2:7" s="5" customFormat="1" ht="15.75" customHeight="1" outlineLevel="2">
      <c r="B136" s="62" t="s">
        <v>179</v>
      </c>
      <c r="C136" s="78"/>
      <c r="D136" s="5" t="s">
        <v>180</v>
      </c>
      <c r="E136" s="67">
        <v>281388</v>
      </c>
      <c r="F136" s="8"/>
      <c r="G136" s="67"/>
    </row>
    <row r="137" spans="2:7" s="5" customFormat="1" ht="15.75" customHeight="1" outlineLevel="2">
      <c r="B137" s="62" t="s">
        <v>127</v>
      </c>
      <c r="C137" s="78"/>
      <c r="D137" s="5" t="s">
        <v>128</v>
      </c>
      <c r="E137" s="67">
        <v>116900</v>
      </c>
      <c r="F137" s="8"/>
      <c r="G137" s="67"/>
    </row>
    <row r="138" spans="2:7" s="5" customFormat="1" ht="15.75" customHeight="1" outlineLevel="2">
      <c r="B138" s="62" t="s">
        <v>196</v>
      </c>
      <c r="C138" s="78"/>
      <c r="D138" s="5" t="s">
        <v>197</v>
      </c>
      <c r="E138" s="67">
        <v>170170</v>
      </c>
      <c r="F138" s="8"/>
      <c r="G138" s="67"/>
    </row>
    <row r="139" spans="2:7" s="5" customFormat="1" ht="15" customHeight="1" outlineLevel="2">
      <c r="B139" s="62" t="s">
        <v>72</v>
      </c>
      <c r="C139" s="78"/>
      <c r="D139" s="5" t="s">
        <v>99</v>
      </c>
      <c r="E139" s="67">
        <v>142059</v>
      </c>
      <c r="F139" s="8"/>
      <c r="G139" s="67"/>
    </row>
    <row r="140" spans="1:7" s="106" customFormat="1" ht="16.5" customHeight="1" outlineLevel="2">
      <c r="A140" s="101"/>
      <c r="B140" s="102" t="s">
        <v>71</v>
      </c>
      <c r="C140" s="103"/>
      <c r="D140" s="101" t="s">
        <v>97</v>
      </c>
      <c r="E140" s="75">
        <v>211480</v>
      </c>
      <c r="F140" s="104"/>
      <c r="G140" s="66">
        <f>SUM(E131:E140)</f>
        <v>3973812</v>
      </c>
    </row>
    <row r="141" spans="1:7" ht="15" customHeight="1" outlineLevel="2" thickBot="1">
      <c r="A141" s="5"/>
      <c r="B141" s="62"/>
      <c r="C141" s="100"/>
      <c r="D141" s="62"/>
      <c r="E141" s="75"/>
      <c r="F141" s="66"/>
      <c r="G141" s="66"/>
    </row>
    <row r="142" spans="1:7" ht="15" customHeight="1" outlineLevel="2">
      <c r="A142" s="5"/>
      <c r="B142" s="83" t="s">
        <v>130</v>
      </c>
      <c r="C142" s="78"/>
      <c r="D142" s="5"/>
      <c r="E142" s="75"/>
      <c r="F142" s="6"/>
      <c r="G142" s="66"/>
    </row>
    <row r="143" spans="1:7" ht="14.25" customHeight="1" outlineLevel="2">
      <c r="A143" s="5"/>
      <c r="B143" s="62" t="s">
        <v>67</v>
      </c>
      <c r="C143" s="78"/>
      <c r="D143" s="5" t="s">
        <v>163</v>
      </c>
      <c r="E143" s="67">
        <v>25000</v>
      </c>
      <c r="F143" s="6"/>
      <c r="G143" s="66"/>
    </row>
    <row r="144" spans="1:7" ht="14.25" customHeight="1" outlineLevel="2">
      <c r="A144" s="5"/>
      <c r="B144" s="62" t="s">
        <v>200</v>
      </c>
      <c r="C144" s="78"/>
      <c r="D144" s="5" t="s">
        <v>201</v>
      </c>
      <c r="E144" s="67">
        <v>57900</v>
      </c>
      <c r="F144" s="6"/>
      <c r="G144" s="66"/>
    </row>
    <row r="145" spans="1:7" ht="14.25" customHeight="1" outlineLevel="2">
      <c r="A145" s="5"/>
      <c r="B145" s="62" t="s">
        <v>55</v>
      </c>
      <c r="C145" s="78"/>
      <c r="D145" s="5" t="s">
        <v>211</v>
      </c>
      <c r="E145" s="75">
        <v>15000</v>
      </c>
      <c r="F145" s="6"/>
      <c r="G145" s="66">
        <f>SUM(E143:E145)</f>
        <v>97900</v>
      </c>
    </row>
    <row r="146" spans="1:7" ht="15" customHeight="1" outlineLevel="2">
      <c r="A146" s="5"/>
      <c r="B146" s="62"/>
      <c r="C146" s="78"/>
      <c r="D146" s="5"/>
      <c r="E146" s="75"/>
      <c r="F146" s="6"/>
      <c r="G146" s="66"/>
    </row>
    <row r="147" spans="1:7" ht="15" customHeight="1" outlineLevel="2">
      <c r="A147" s="5"/>
      <c r="B147" s="83" t="s">
        <v>123</v>
      </c>
      <c r="C147" s="78"/>
      <c r="D147" s="5"/>
      <c r="E147" s="75"/>
      <c r="F147" s="6"/>
      <c r="G147" s="66"/>
    </row>
    <row r="148" spans="1:7" ht="15" customHeight="1" outlineLevel="2">
      <c r="A148" s="5"/>
      <c r="B148" s="62" t="s">
        <v>172</v>
      </c>
      <c r="C148" s="78"/>
      <c r="D148" s="5" t="s">
        <v>173</v>
      </c>
      <c r="E148" s="75">
        <v>4336450</v>
      </c>
      <c r="F148" s="6"/>
      <c r="G148" s="66">
        <f>SUM(E148:F148)</f>
        <v>4336450</v>
      </c>
    </row>
    <row r="149" spans="1:7" ht="15" customHeight="1" outlineLevel="2">
      <c r="A149" s="5"/>
      <c r="B149" s="62"/>
      <c r="C149" s="78"/>
      <c r="D149" s="5"/>
      <c r="E149" s="75"/>
      <c r="F149" s="6"/>
      <c r="G149" s="66"/>
    </row>
    <row r="150" spans="1:7" ht="15" customHeight="1" outlineLevel="2">
      <c r="A150" s="5"/>
      <c r="B150" s="83" t="s">
        <v>79</v>
      </c>
      <c r="C150" s="78"/>
      <c r="D150" s="5"/>
      <c r="E150" s="75"/>
      <c r="F150" s="6"/>
      <c r="G150" s="66"/>
    </row>
    <row r="151" spans="2:7" s="5" customFormat="1" ht="15" customHeight="1" outlineLevel="2">
      <c r="B151" s="62" t="s">
        <v>61</v>
      </c>
      <c r="C151" s="78"/>
      <c r="D151" s="5" t="s">
        <v>98</v>
      </c>
      <c r="E151" s="67">
        <v>14734</v>
      </c>
      <c r="F151" s="8"/>
      <c r="G151" s="67"/>
    </row>
    <row r="152" spans="2:7" s="5" customFormat="1" ht="15.75" customHeight="1" outlineLevel="2">
      <c r="B152" s="62" t="s">
        <v>118</v>
      </c>
      <c r="C152" s="78"/>
      <c r="D152" s="5" t="s">
        <v>115</v>
      </c>
      <c r="E152" s="67">
        <v>186890</v>
      </c>
      <c r="F152" s="8"/>
      <c r="G152" s="67"/>
    </row>
    <row r="153" spans="2:7" s="5" customFormat="1" ht="16.5" customHeight="1" outlineLevel="2">
      <c r="B153" s="62" t="s">
        <v>68</v>
      </c>
      <c r="C153" s="78"/>
      <c r="D153" s="5" t="s">
        <v>96</v>
      </c>
      <c r="E153" s="75">
        <v>15550</v>
      </c>
      <c r="F153" s="8"/>
      <c r="G153" s="66">
        <f>SUM(E151:E153)</f>
        <v>217174</v>
      </c>
    </row>
    <row r="154" spans="1:7" ht="15" customHeight="1" outlineLevel="2" thickBot="1">
      <c r="A154" s="5"/>
      <c r="B154" s="85"/>
      <c r="C154" s="100"/>
      <c r="D154" s="59"/>
      <c r="E154" s="111"/>
      <c r="F154" s="98"/>
      <c r="G154" s="110"/>
    </row>
    <row r="155" spans="1:7" ht="15" customHeight="1" outlineLevel="2">
      <c r="A155" s="5"/>
      <c r="B155" s="83" t="s">
        <v>80</v>
      </c>
      <c r="C155" s="78"/>
      <c r="D155" s="5"/>
      <c r="E155" s="75"/>
      <c r="F155" s="6"/>
      <c r="G155" s="66"/>
    </row>
    <row r="156" spans="1:7" ht="15" customHeight="1" outlineLevel="2">
      <c r="A156" s="5"/>
      <c r="B156" s="62" t="s">
        <v>81</v>
      </c>
      <c r="C156" s="78"/>
      <c r="D156" s="5" t="s">
        <v>212</v>
      </c>
      <c r="E156" s="67">
        <v>687923</v>
      </c>
      <c r="F156" s="6"/>
      <c r="G156" s="66"/>
    </row>
    <row r="157" spans="1:7" ht="15" customHeight="1" outlineLevel="2">
      <c r="A157" s="5"/>
      <c r="B157" s="62" t="s">
        <v>82</v>
      </c>
      <c r="C157" s="78"/>
      <c r="D157" s="5" t="s">
        <v>212</v>
      </c>
      <c r="E157" s="67">
        <v>786123</v>
      </c>
      <c r="F157" s="6"/>
      <c r="G157" s="66"/>
    </row>
    <row r="158" spans="1:7" ht="15" customHeight="1" outlineLevel="2">
      <c r="A158" s="5"/>
      <c r="B158" s="62" t="s">
        <v>55</v>
      </c>
      <c r="C158" s="78"/>
      <c r="D158" s="5" t="s">
        <v>212</v>
      </c>
      <c r="E158" s="67">
        <v>859798</v>
      </c>
      <c r="F158" s="6"/>
      <c r="G158" s="66"/>
    </row>
    <row r="159" spans="1:7" ht="15" customHeight="1" outlineLevel="2">
      <c r="A159" s="5"/>
      <c r="B159" s="62" t="s">
        <v>108</v>
      </c>
      <c r="C159" s="78"/>
      <c r="D159" s="5" t="s">
        <v>212</v>
      </c>
      <c r="E159" s="67">
        <v>997692</v>
      </c>
      <c r="F159" s="6"/>
      <c r="G159" s="66"/>
    </row>
    <row r="160" spans="1:7" ht="15" customHeight="1" outlineLevel="2">
      <c r="A160" s="5"/>
      <c r="B160" s="62" t="s">
        <v>83</v>
      </c>
      <c r="C160" s="78"/>
      <c r="D160" s="5" t="s">
        <v>212</v>
      </c>
      <c r="E160" s="67">
        <v>382800</v>
      </c>
      <c r="F160" s="6"/>
      <c r="G160" s="66"/>
    </row>
    <row r="161" spans="1:7" ht="15" customHeight="1" outlineLevel="2">
      <c r="A161" s="5"/>
      <c r="B161" s="62" t="s">
        <v>58</v>
      </c>
      <c r="C161" s="78"/>
      <c r="D161" s="5" t="s">
        <v>212</v>
      </c>
      <c r="E161" s="67">
        <v>994664</v>
      </c>
      <c r="F161" s="6"/>
      <c r="G161" s="66"/>
    </row>
    <row r="162" spans="1:7" ht="15" customHeight="1" outlineLevel="2">
      <c r="A162" s="5"/>
      <c r="B162" s="62" t="s">
        <v>104</v>
      </c>
      <c r="C162" s="78"/>
      <c r="D162" s="5" t="s">
        <v>212</v>
      </c>
      <c r="E162" s="67">
        <v>535001</v>
      </c>
      <c r="F162" s="6"/>
      <c r="G162" s="66"/>
    </row>
    <row r="163" spans="1:7" ht="15" customHeight="1" outlineLevel="2">
      <c r="A163" s="5"/>
      <c r="B163" s="62" t="s">
        <v>47</v>
      </c>
      <c r="C163" s="78"/>
      <c r="D163" s="5" t="s">
        <v>212</v>
      </c>
      <c r="E163" s="67">
        <v>992617</v>
      </c>
      <c r="F163" s="6"/>
      <c r="G163" s="66"/>
    </row>
    <row r="164" spans="1:7" ht="15" customHeight="1" outlineLevel="2">
      <c r="A164" s="5"/>
      <c r="B164" s="62" t="s">
        <v>67</v>
      </c>
      <c r="C164" s="78"/>
      <c r="D164" s="5" t="s">
        <v>212</v>
      </c>
      <c r="E164" s="67">
        <v>1238972</v>
      </c>
      <c r="F164" s="6"/>
      <c r="G164" s="66"/>
    </row>
    <row r="165" spans="1:7" ht="18" customHeight="1" outlineLevel="2">
      <c r="A165" s="5"/>
      <c r="B165" s="62" t="s">
        <v>86</v>
      </c>
      <c r="C165" s="78"/>
      <c r="D165" s="5" t="s">
        <v>212</v>
      </c>
      <c r="E165" s="75">
        <v>494307</v>
      </c>
      <c r="F165" s="6"/>
      <c r="G165" s="66">
        <f>SUM(E156:E165)</f>
        <v>7969897</v>
      </c>
    </row>
    <row r="166" spans="1:7" ht="15" customHeight="1" outlineLevel="2" thickBot="1">
      <c r="A166" s="5"/>
      <c r="B166" s="62"/>
      <c r="C166" s="100"/>
      <c r="D166" s="62"/>
      <c r="E166" s="75"/>
      <c r="F166" s="66"/>
      <c r="G166" s="66"/>
    </row>
    <row r="167" spans="1:7" ht="15" customHeight="1" outlineLevel="2">
      <c r="A167" s="5"/>
      <c r="B167" s="83" t="s">
        <v>11</v>
      </c>
      <c r="C167" s="78"/>
      <c r="D167" s="5"/>
      <c r="E167" s="67"/>
      <c r="F167" s="6"/>
      <c r="G167" s="66"/>
    </row>
    <row r="168" spans="1:7" ht="15" customHeight="1" outlineLevel="2">
      <c r="A168" s="5"/>
      <c r="B168" s="62" t="s">
        <v>12</v>
      </c>
      <c r="C168" s="78"/>
      <c r="D168" s="5" t="s">
        <v>137</v>
      </c>
      <c r="E168" s="67">
        <v>332048</v>
      </c>
      <c r="F168" s="6"/>
      <c r="G168" s="66"/>
    </row>
    <row r="169" spans="1:7" ht="15" customHeight="1" outlineLevel="2">
      <c r="A169" s="5"/>
      <c r="B169" s="62" t="s">
        <v>57</v>
      </c>
      <c r="C169" s="79"/>
      <c r="D169" s="5" t="s">
        <v>137</v>
      </c>
      <c r="E169" s="67">
        <v>91125</v>
      </c>
      <c r="F169" s="6"/>
      <c r="G169" s="66"/>
    </row>
    <row r="170" spans="1:7" ht="15" customHeight="1" outlineLevel="2">
      <c r="A170" s="5"/>
      <c r="B170" s="62" t="s">
        <v>73</v>
      </c>
      <c r="C170" s="79"/>
      <c r="D170" s="5" t="s">
        <v>137</v>
      </c>
      <c r="E170" s="67">
        <v>107428</v>
      </c>
      <c r="F170" s="6"/>
      <c r="G170" s="66"/>
    </row>
    <row r="171" spans="1:7" ht="15" customHeight="1" outlineLevel="2">
      <c r="A171" s="5"/>
      <c r="B171" s="62" t="s">
        <v>69</v>
      </c>
      <c r="C171" s="79"/>
      <c r="D171" s="5" t="s">
        <v>137</v>
      </c>
      <c r="E171" s="67">
        <v>266547</v>
      </c>
      <c r="F171" s="6"/>
      <c r="G171" s="66"/>
    </row>
    <row r="172" spans="1:7" ht="15" customHeight="1" outlineLevel="2">
      <c r="A172" s="5"/>
      <c r="B172" s="62" t="s">
        <v>62</v>
      </c>
      <c r="C172" s="78"/>
      <c r="D172" s="5" t="s">
        <v>137</v>
      </c>
      <c r="E172" s="67">
        <v>58884</v>
      </c>
      <c r="F172" s="6"/>
      <c r="G172" s="66"/>
    </row>
    <row r="173" spans="1:7" ht="15" customHeight="1" outlineLevel="2">
      <c r="A173" s="5"/>
      <c r="B173" s="62" t="s">
        <v>44</v>
      </c>
      <c r="C173" s="78"/>
      <c r="D173" s="5" t="s">
        <v>137</v>
      </c>
      <c r="E173" s="67">
        <v>764075</v>
      </c>
      <c r="F173" s="6"/>
      <c r="G173" s="66"/>
    </row>
    <row r="174" spans="1:7" ht="15" customHeight="1" outlineLevel="2">
      <c r="A174" s="5"/>
      <c r="B174" s="62" t="s">
        <v>63</v>
      </c>
      <c r="C174" s="78"/>
      <c r="D174" s="5" t="s">
        <v>137</v>
      </c>
      <c r="E174" s="67">
        <v>403643</v>
      </c>
      <c r="F174" s="6"/>
      <c r="G174" s="66"/>
    </row>
    <row r="175" spans="1:7" ht="15" customHeight="1" outlineLevel="2">
      <c r="A175" s="5"/>
      <c r="B175" s="62" t="s">
        <v>64</v>
      </c>
      <c r="C175" s="78"/>
      <c r="D175" s="5" t="s">
        <v>137</v>
      </c>
      <c r="E175" s="67">
        <v>222197</v>
      </c>
      <c r="F175" s="6"/>
      <c r="G175" s="66"/>
    </row>
    <row r="176" spans="1:7" ht="15" customHeight="1" outlineLevel="2">
      <c r="A176" s="5"/>
      <c r="B176" s="62" t="s">
        <v>24</v>
      </c>
      <c r="C176" s="78"/>
      <c r="D176" s="5" t="s">
        <v>137</v>
      </c>
      <c r="E176" s="67">
        <f>39054+55188+17903+28651+86344</f>
        <v>227140</v>
      </c>
      <c r="F176" s="6"/>
      <c r="G176" s="66"/>
    </row>
    <row r="177" spans="1:7" ht="15" customHeight="1" outlineLevel="2">
      <c r="A177" s="5"/>
      <c r="B177" s="62" t="s">
        <v>59</v>
      </c>
      <c r="C177" s="78"/>
      <c r="D177" s="5" t="s">
        <v>137</v>
      </c>
      <c r="E177" s="67">
        <v>173398</v>
      </c>
      <c r="F177" s="6"/>
      <c r="G177" s="66"/>
    </row>
    <row r="178" spans="1:7" ht="15" customHeight="1" outlineLevel="2">
      <c r="A178" s="5"/>
      <c r="B178" s="62" t="s">
        <v>56</v>
      </c>
      <c r="C178" s="78"/>
      <c r="D178" s="5" t="s">
        <v>137</v>
      </c>
      <c r="E178" s="67">
        <v>77825</v>
      </c>
      <c r="F178" s="6"/>
      <c r="G178" s="66"/>
    </row>
    <row r="179" spans="1:7" ht="15" customHeight="1" outlineLevel="2" thickBot="1">
      <c r="A179" s="5"/>
      <c r="B179" s="64" t="s">
        <v>20</v>
      </c>
      <c r="C179" s="80"/>
      <c r="D179" s="5" t="s">
        <v>137</v>
      </c>
      <c r="E179" s="76">
        <v>467664</v>
      </c>
      <c r="F179" s="65"/>
      <c r="G179" s="68">
        <f>SUM(E168:E179)</f>
        <v>3191974</v>
      </c>
    </row>
    <row r="180" spans="2:7" ht="12.75" outlineLevel="1" thickBot="1">
      <c r="B180" s="32" t="s">
        <v>13</v>
      </c>
      <c r="C180" s="61"/>
      <c r="D180" s="54"/>
      <c r="E180" s="53"/>
      <c r="F180" s="33">
        <f>SUM(F8:F179)</f>
        <v>53200346</v>
      </c>
      <c r="G180" s="33">
        <f>SUM(G8:G179)</f>
        <v>34104018</v>
      </c>
    </row>
    <row r="181" spans="2:7" ht="12.75" outlineLevel="1" thickBot="1">
      <c r="B181" s="35" t="s">
        <v>14</v>
      </c>
      <c r="C181" s="54"/>
      <c r="D181" s="52"/>
      <c r="E181" s="34"/>
      <c r="F181" s="34">
        <f>G6</f>
        <v>166764427</v>
      </c>
      <c r="G181" s="34">
        <v>0</v>
      </c>
    </row>
    <row r="182" spans="2:7" ht="12.75" thickBot="1">
      <c r="B182" s="37" t="s">
        <v>15</v>
      </c>
      <c r="C182" s="54"/>
      <c r="D182" s="36"/>
      <c r="E182" s="34"/>
      <c r="F182" s="34">
        <f>SUM(F180:F181)</f>
        <v>219964773</v>
      </c>
      <c r="G182" s="34">
        <f>SUM(G180:G181)</f>
        <v>34104018</v>
      </c>
    </row>
    <row r="183" spans="2:7" ht="12" thickBot="1">
      <c r="B183" s="7"/>
      <c r="C183" s="57"/>
      <c r="D183" s="7"/>
      <c r="E183" s="6"/>
      <c r="F183" s="6"/>
      <c r="G183" s="6"/>
    </row>
    <row r="184" spans="1:7" s="9" customFormat="1" ht="15" customHeight="1" thickBot="1">
      <c r="A184" s="11"/>
      <c r="B184" s="38" t="s">
        <v>225</v>
      </c>
      <c r="C184" s="39"/>
      <c r="D184" s="39"/>
      <c r="E184" s="40">
        <f>F182-G182</f>
        <v>185860755</v>
      </c>
      <c r="F184" s="12" t="s">
        <v>7</v>
      </c>
      <c r="G184"/>
    </row>
    <row r="185" spans="2:7" s="5" customFormat="1" ht="35.25" customHeight="1">
      <c r="B185" s="7"/>
      <c r="D185" s="7"/>
      <c r="E185" s="6"/>
      <c r="F185" s="6"/>
      <c r="G185" s="6"/>
    </row>
    <row r="186" spans="2:7" s="5" customFormat="1" ht="12">
      <c r="B186" s="7"/>
      <c r="D186" s="7"/>
      <c r="E186" s="6"/>
      <c r="F186" s="12"/>
      <c r="G186" s="6"/>
    </row>
    <row r="187" spans="2:7" s="5" customFormat="1" ht="18.75">
      <c r="B187" s="5" t="s">
        <v>231</v>
      </c>
      <c r="D187" s="7"/>
      <c r="E187" s="6"/>
      <c r="F187" s="109" t="s">
        <v>70</v>
      </c>
      <c r="G187" s="6"/>
    </row>
  </sheetData>
  <sheetProtection/>
  <autoFilter ref="E4:E187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5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7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4.00390625" style="13" customWidth="1"/>
    <col min="2" max="2" width="36.421875" style="13" customWidth="1"/>
    <col min="3" max="4" width="11.421875" style="13" customWidth="1"/>
    <col min="5" max="5" width="0" style="13" hidden="1" customWidth="1"/>
    <col min="6" max="16384" width="11.421875" style="13" customWidth="1"/>
  </cols>
  <sheetData>
    <row r="1" ht="12.75"/>
    <row r="2" ht="12.75"/>
    <row r="3" ht="12.75">
      <c r="B3" s="14"/>
    </row>
    <row r="4" ht="12.75">
      <c r="B4" s="14"/>
    </row>
    <row r="5" ht="13.5" thickBot="1">
      <c r="B5" s="14"/>
    </row>
    <row r="6" spans="2:5" s="15" customFormat="1" ht="28.5" customHeight="1" thickBot="1">
      <c r="B6" s="48" t="s">
        <v>48</v>
      </c>
      <c r="C6" s="48" t="s">
        <v>31</v>
      </c>
      <c r="D6" s="48"/>
      <c r="E6" s="45" t="s">
        <v>45</v>
      </c>
    </row>
    <row r="7" spans="2:5" s="5" customFormat="1" ht="15" customHeight="1">
      <c r="B7" s="22" t="s">
        <v>32</v>
      </c>
      <c r="C7" s="30">
        <v>68</v>
      </c>
      <c r="D7" s="67">
        <v>442000</v>
      </c>
      <c r="E7" s="41">
        <f>378400+4300+378400+4300</f>
        <v>765400</v>
      </c>
    </row>
    <row r="8" spans="2:5" s="5" customFormat="1" ht="15" customHeight="1">
      <c r="B8" s="22" t="s">
        <v>27</v>
      </c>
      <c r="C8" s="30">
        <v>95</v>
      </c>
      <c r="D8" s="66">
        <v>611000</v>
      </c>
      <c r="E8" s="41">
        <f>533200+8600</f>
        <v>541800</v>
      </c>
    </row>
    <row r="9" spans="2:5" s="5" customFormat="1" ht="15" customHeight="1">
      <c r="B9" s="22" t="s">
        <v>30</v>
      </c>
      <c r="C9" s="30">
        <f>208</f>
        <v>208</v>
      </c>
      <c r="D9" s="67">
        <f>1339000</f>
        <v>1339000</v>
      </c>
      <c r="E9" s="41">
        <f>838500+8600+834200+8600</f>
        <v>1689900</v>
      </c>
    </row>
    <row r="10" spans="2:5" s="5" customFormat="1" ht="15" customHeight="1">
      <c r="B10" s="22" t="s">
        <v>33</v>
      </c>
      <c r="C10" s="30">
        <f>144+1</f>
        <v>145</v>
      </c>
      <c r="D10" s="66">
        <v>1189506</v>
      </c>
      <c r="E10" s="41">
        <v>0</v>
      </c>
    </row>
    <row r="11" spans="2:5" s="5" customFormat="1" ht="15" customHeight="1">
      <c r="B11" s="22" t="s">
        <v>25</v>
      </c>
      <c r="C11" s="30">
        <f>145+1+1</f>
        <v>147</v>
      </c>
      <c r="D11" s="67">
        <f>94500+2400+2400</f>
        <v>99300</v>
      </c>
      <c r="E11" s="41">
        <f>8600+967500</f>
        <v>976100</v>
      </c>
    </row>
    <row r="12" spans="2:5" s="5" customFormat="1" ht="15" customHeight="1">
      <c r="B12" s="22" t="s">
        <v>34</v>
      </c>
      <c r="C12" s="30">
        <f>1+1+1+1+414</f>
        <v>418</v>
      </c>
      <c r="D12" s="67">
        <f>2400+2200+2400+6500+2691000</f>
        <v>2704500</v>
      </c>
      <c r="E12" s="41">
        <f>17200+223100+8600+8600</f>
        <v>257500</v>
      </c>
    </row>
    <row r="13" spans="2:5" s="5" customFormat="1" ht="15" customHeight="1">
      <c r="B13" s="22" t="s">
        <v>35</v>
      </c>
      <c r="C13" s="30">
        <f>1+1+1+1+1+490+1</f>
        <v>496</v>
      </c>
      <c r="D13" s="67">
        <f>6500+26000+2400+2200+2200+3185000+2600</f>
        <v>3226900</v>
      </c>
      <c r="E13" s="41">
        <f>3457200+30100+3990</f>
        <v>3491290</v>
      </c>
    </row>
    <row r="14" spans="2:5" s="5" customFormat="1" ht="15" customHeight="1">
      <c r="B14" s="62" t="s">
        <v>107</v>
      </c>
      <c r="C14" s="30">
        <f>1+48</f>
        <v>49</v>
      </c>
      <c r="D14" s="67">
        <f>6500+318500</f>
        <v>325000</v>
      </c>
      <c r="E14" s="41"/>
    </row>
    <row r="15" spans="2:5" s="5" customFormat="1" ht="15" customHeight="1">
      <c r="B15" s="62" t="s">
        <v>106</v>
      </c>
      <c r="C15" s="30">
        <v>61</v>
      </c>
      <c r="D15" s="67">
        <v>396500</v>
      </c>
      <c r="E15" s="41"/>
    </row>
    <row r="16" spans="2:5" s="5" customFormat="1" ht="15" customHeight="1">
      <c r="B16" s="22" t="s">
        <v>36</v>
      </c>
      <c r="C16" s="30">
        <f>1+302+1</f>
        <v>304</v>
      </c>
      <c r="D16" s="67">
        <f>2600+1962800+2200</f>
        <v>1967600</v>
      </c>
      <c r="E16" s="41">
        <f>1797400+8600</f>
        <v>1806000</v>
      </c>
    </row>
    <row r="17" spans="2:5" s="5" customFormat="1" ht="15" customHeight="1">
      <c r="B17" s="22" t="s">
        <v>37</v>
      </c>
      <c r="C17" s="30">
        <f>1+1+132+1</f>
        <v>135</v>
      </c>
      <c r="D17" s="67">
        <f>2200+2300+858000+13000</f>
        <v>875500</v>
      </c>
      <c r="E17" s="41">
        <v>774000</v>
      </c>
    </row>
    <row r="18" spans="2:5" s="5" customFormat="1" ht="15" customHeight="1">
      <c r="B18" s="22" t="s">
        <v>38</v>
      </c>
      <c r="C18" s="30">
        <f>1+273</f>
        <v>274</v>
      </c>
      <c r="D18" s="67">
        <f>2400+1774500</f>
        <v>1776900</v>
      </c>
      <c r="E18" s="41">
        <f>1427290</f>
        <v>1427290</v>
      </c>
    </row>
    <row r="19" spans="2:5" s="5" customFormat="1" ht="15" customHeight="1">
      <c r="B19" s="22" t="s">
        <v>23</v>
      </c>
      <c r="C19" s="30">
        <f>1+100+1+1</f>
        <v>103</v>
      </c>
      <c r="D19" s="67">
        <f>2600+650000+2200+2200</f>
        <v>657000</v>
      </c>
      <c r="E19" s="41">
        <v>442900</v>
      </c>
    </row>
    <row r="20" spans="2:5" s="5" customFormat="1" ht="15" customHeight="1">
      <c r="B20" s="22" t="s">
        <v>39</v>
      </c>
      <c r="C20" s="30">
        <v>333</v>
      </c>
      <c r="D20" s="67">
        <v>2164500</v>
      </c>
      <c r="E20" s="41">
        <f>1720+12900+2128500</f>
        <v>2143120</v>
      </c>
    </row>
    <row r="21" spans="2:5" s="5" customFormat="1" ht="15" customHeight="1">
      <c r="B21" s="22" t="s">
        <v>28</v>
      </c>
      <c r="C21" s="30">
        <f>245</f>
        <v>245</v>
      </c>
      <c r="D21" s="67">
        <f>1592500</f>
        <v>1592500</v>
      </c>
      <c r="E21" s="41">
        <f>7740+1388900+12900+1596</f>
        <v>1411136</v>
      </c>
    </row>
    <row r="22" spans="2:5" s="5" customFormat="1" ht="15" customHeight="1">
      <c r="B22" s="22" t="s">
        <v>40</v>
      </c>
      <c r="C22" s="30">
        <f>1+200+1</f>
        <v>202</v>
      </c>
      <c r="D22" s="67">
        <f>26000+1300000+2400</f>
        <v>1328400</v>
      </c>
      <c r="E22" s="41">
        <f>12900+924500+4300</f>
        <v>941700</v>
      </c>
    </row>
    <row r="23" spans="2:5" s="5" customFormat="1" ht="15" customHeight="1">
      <c r="B23" s="22" t="s">
        <v>29</v>
      </c>
      <c r="C23" s="30">
        <f>192</f>
        <v>192</v>
      </c>
      <c r="D23" s="67">
        <v>1248000</v>
      </c>
      <c r="E23" s="41">
        <f>645000</f>
        <v>645000</v>
      </c>
    </row>
    <row r="24" spans="2:5" s="5" customFormat="1" ht="15" customHeight="1">
      <c r="B24" s="22" t="s">
        <v>41</v>
      </c>
      <c r="C24" s="30">
        <f>113+1</f>
        <v>114</v>
      </c>
      <c r="D24" s="67">
        <f>734500+6500</f>
        <v>741000</v>
      </c>
      <c r="E24" s="41">
        <f>4300+520300</f>
        <v>524600</v>
      </c>
    </row>
    <row r="25" spans="2:5" s="5" customFormat="1" ht="15" customHeight="1" thickBot="1">
      <c r="B25" s="22" t="s">
        <v>42</v>
      </c>
      <c r="C25" s="30">
        <f>104+1</f>
        <v>105</v>
      </c>
      <c r="D25" s="75">
        <f>18000+676000</f>
        <v>694000</v>
      </c>
      <c r="E25" s="42">
        <f>4300+464400</f>
        <v>468700</v>
      </c>
    </row>
    <row r="26" spans="2:5" s="5" customFormat="1" ht="15" customHeight="1" thickBot="1">
      <c r="B26" s="29"/>
      <c r="C26" s="29">
        <f>SUM(C7:C25)</f>
        <v>3694</v>
      </c>
      <c r="D26" s="49">
        <f>SUM(D7:D25)</f>
        <v>23379106</v>
      </c>
      <c r="E26" s="46"/>
    </row>
    <row r="27" spans="2:5" ht="15.75" customHeight="1" hidden="1" thickBot="1">
      <c r="B27" s="43" t="s">
        <v>46</v>
      </c>
      <c r="C27" s="44"/>
      <c r="D27" s="47"/>
      <c r="E27" s="17" t="e">
        <f>SUM(#REF!)</f>
        <v>#REF!</v>
      </c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4.00390625" style="13" customWidth="1"/>
    <col min="2" max="2" width="14.28125" style="13" customWidth="1"/>
    <col min="3" max="3" width="43.140625" style="13" customWidth="1"/>
    <col min="4" max="5" width="11.421875" style="16" customWidth="1"/>
    <col min="6" max="16384" width="11.421875" style="13" customWidth="1"/>
  </cols>
  <sheetData>
    <row r="1" ht="26.25" customHeight="1"/>
    <row r="2" ht="26.25" customHeight="1"/>
    <row r="3" spans="2:3" ht="12.75">
      <c r="B3" s="14"/>
      <c r="C3" s="14"/>
    </row>
    <row r="4" spans="2:3" ht="14.25">
      <c r="B4" s="14"/>
      <c r="C4" s="51" t="s">
        <v>54</v>
      </c>
    </row>
    <row r="5" ht="13.5" thickBot="1"/>
    <row r="6" spans="2:5" s="15" customFormat="1" ht="28.5" customHeight="1" thickBot="1">
      <c r="B6" s="87" t="s">
        <v>49</v>
      </c>
      <c r="C6" s="92" t="s">
        <v>50</v>
      </c>
      <c r="D6" s="50" t="s">
        <v>51</v>
      </c>
      <c r="E6" s="97" t="s">
        <v>66</v>
      </c>
    </row>
    <row r="7" spans="2:5" s="5" customFormat="1" ht="15" customHeight="1" thickTop="1">
      <c r="B7" s="89"/>
      <c r="C7" s="94"/>
      <c r="D7"/>
      <c r="E7" s="94"/>
    </row>
    <row r="8" spans="2:5" s="5" customFormat="1" ht="15" customHeight="1">
      <c r="B8" s="90">
        <v>45108</v>
      </c>
      <c r="C8" s="119" t="s">
        <v>125</v>
      </c>
      <c r="D8">
        <v>25000</v>
      </c>
      <c r="E8" s="95">
        <v>396</v>
      </c>
    </row>
    <row r="9" spans="2:5" s="5" customFormat="1" ht="15" customHeight="1">
      <c r="B9" s="90">
        <v>45108</v>
      </c>
      <c r="C9" s="119" t="s">
        <v>226</v>
      </c>
      <c r="D9">
        <v>25000</v>
      </c>
      <c r="E9" s="95">
        <v>397</v>
      </c>
    </row>
    <row r="10" spans="2:5" s="5" customFormat="1" ht="15" customHeight="1">
      <c r="B10" s="90">
        <v>45108</v>
      </c>
      <c r="C10" s="119" t="s">
        <v>227</v>
      </c>
      <c r="D10">
        <v>20000</v>
      </c>
      <c r="E10" s="95">
        <v>399</v>
      </c>
    </row>
    <row r="11" spans="2:5" s="5" customFormat="1" ht="15" customHeight="1">
      <c r="B11" s="90">
        <v>45124</v>
      </c>
      <c r="C11" s="119" t="s">
        <v>125</v>
      </c>
      <c r="D11">
        <v>20000</v>
      </c>
      <c r="E11" s="95">
        <v>401</v>
      </c>
    </row>
    <row r="12" spans="2:5" s="5" customFormat="1" ht="15" customHeight="1">
      <c r="B12" s="90">
        <v>45125</v>
      </c>
      <c r="C12" s="119" t="s">
        <v>228</v>
      </c>
      <c r="D12">
        <v>20000</v>
      </c>
      <c r="E12" s="95">
        <v>402</v>
      </c>
    </row>
    <row r="13" spans="2:5" s="5" customFormat="1" ht="15" customHeight="1">
      <c r="B13" s="90">
        <v>45125</v>
      </c>
      <c r="C13" s="119" t="s">
        <v>228</v>
      </c>
      <c r="D13">
        <v>20000</v>
      </c>
      <c r="E13" s="95">
        <v>403</v>
      </c>
    </row>
    <row r="14" spans="2:5" s="5" customFormat="1" ht="15" customHeight="1">
      <c r="B14" s="90">
        <v>45128</v>
      </c>
      <c r="C14" s="119" t="s">
        <v>125</v>
      </c>
      <c r="D14">
        <v>20000</v>
      </c>
      <c r="E14" s="95">
        <v>404</v>
      </c>
    </row>
    <row r="15" spans="2:5" s="5" customFormat="1" ht="15" customHeight="1">
      <c r="B15" s="90">
        <v>45131</v>
      </c>
      <c r="C15" s="119" t="s">
        <v>229</v>
      </c>
      <c r="D15">
        <v>20000</v>
      </c>
      <c r="E15" s="95">
        <v>405</v>
      </c>
    </row>
    <row r="16" spans="2:5" s="5" customFormat="1" ht="15" customHeight="1">
      <c r="B16" s="90">
        <v>45133</v>
      </c>
      <c r="C16" s="119" t="s">
        <v>125</v>
      </c>
      <c r="D16">
        <v>20000</v>
      </c>
      <c r="E16" s="95">
        <v>406</v>
      </c>
    </row>
    <row r="17" spans="2:5" s="5" customFormat="1" ht="15" customHeight="1">
      <c r="B17" s="90">
        <v>45133</v>
      </c>
      <c r="C17" s="119" t="s">
        <v>230</v>
      </c>
      <c r="D17">
        <v>20000</v>
      </c>
      <c r="E17" s="95">
        <v>407</v>
      </c>
    </row>
    <row r="18" spans="2:5" s="5" customFormat="1" ht="15" customHeight="1">
      <c r="B18" s="90">
        <v>45135</v>
      </c>
      <c r="C18" s="119" t="s">
        <v>121</v>
      </c>
      <c r="D18">
        <v>20000</v>
      </c>
      <c r="E18" s="95">
        <v>409</v>
      </c>
    </row>
    <row r="19" spans="2:5" s="5" customFormat="1" ht="15" customHeight="1">
      <c r="B19" s="90">
        <v>45135</v>
      </c>
      <c r="C19" s="119" t="s">
        <v>229</v>
      </c>
      <c r="D19">
        <v>20000</v>
      </c>
      <c r="E19" s="95">
        <v>410</v>
      </c>
    </row>
    <row r="20" spans="2:5" s="5" customFormat="1" ht="15" customHeight="1">
      <c r="B20" s="90">
        <v>45136</v>
      </c>
      <c r="C20" s="119" t="s">
        <v>88</v>
      </c>
      <c r="D20">
        <v>20000</v>
      </c>
      <c r="E20" s="95">
        <v>413</v>
      </c>
    </row>
    <row r="21" spans="2:5" s="5" customFormat="1" ht="15" customHeight="1">
      <c r="B21" s="90">
        <v>45136</v>
      </c>
      <c r="C21" s="119" t="s">
        <v>125</v>
      </c>
      <c r="D21">
        <v>20000</v>
      </c>
      <c r="E21" s="95">
        <v>414</v>
      </c>
    </row>
    <row r="22" spans="2:5" s="5" customFormat="1" ht="15" customHeight="1">
      <c r="B22" s="90">
        <v>45138</v>
      </c>
      <c r="C22" s="119" t="s">
        <v>125</v>
      </c>
      <c r="D22">
        <v>25000</v>
      </c>
      <c r="E22" s="95">
        <v>417</v>
      </c>
    </row>
    <row r="23" spans="2:5" s="5" customFormat="1" ht="15" customHeight="1">
      <c r="B23" s="90">
        <v>45138</v>
      </c>
      <c r="C23" s="119" t="s">
        <v>125</v>
      </c>
      <c r="D23">
        <v>20000</v>
      </c>
      <c r="E23" s="95">
        <v>418</v>
      </c>
    </row>
    <row r="24" spans="2:5" s="5" customFormat="1" ht="15" customHeight="1">
      <c r="B24" s="90"/>
      <c r="C24" s="95"/>
      <c r="D24"/>
      <c r="E24" s="95"/>
    </row>
    <row r="25" spans="2:5" s="5" customFormat="1" ht="15" customHeight="1" thickBot="1">
      <c r="B25" s="91"/>
      <c r="C25" s="96"/>
      <c r="D25"/>
      <c r="E25" s="96"/>
    </row>
    <row r="26" spans="2:9" s="5" customFormat="1" ht="15" customHeight="1" thickBot="1" thickTop="1">
      <c r="B26" s="88"/>
      <c r="C26" s="93"/>
      <c r="D26" s="58">
        <f>SUM(D7:D25)</f>
        <v>335000</v>
      </c>
      <c r="E26" s="93"/>
      <c r="I26" s="5" t="s">
        <v>65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Tesoreria Nacional</cp:lastModifiedBy>
  <cp:lastPrinted>2023-09-14T19:23:13Z</cp:lastPrinted>
  <dcterms:created xsi:type="dcterms:W3CDTF">2000-09-21T06:07:13Z</dcterms:created>
  <dcterms:modified xsi:type="dcterms:W3CDTF">2023-09-26T18:46:50Z</dcterms:modified>
  <cp:category/>
  <cp:version/>
  <cp:contentType/>
  <cp:contentStatus/>
</cp:coreProperties>
</file>