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'informe'!$E$4:$E$222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<sst xmlns="http://schemas.openxmlformats.org/spreadsheetml/2006/main" count="388" uniqueCount="283">
  <si>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</si>
  <si>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</si>
  <si>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</si>
  <si>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</si>
  <si>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</si>
  <si>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</si>
  <si>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</si>
  <si>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</si>
  <si>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</si>
  <si>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</si>
  <si>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</si>
  <si>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</si>
  <si>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</si>
  <si>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</si>
  <si>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</si>
  <si>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</si>
  <si>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</si>
  <si>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</si>
  <si>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</si>
  <si>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</si>
  <si>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</si>
  <si>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</si>
  <si>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</si>
  <si>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</si>
  <si>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</si>
  <si>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</si>
  <si>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</si>
  <si>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</si>
  <si>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</si>
  <si>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</si>
  <si>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</si>
  <si>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</si>
  <si>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</si>
  <si>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</si>
  <si>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</si>
  <si>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</si>
  <si>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</si>
  <si>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</si>
  <si>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</si>
  <si>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</si>
  <si>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</si>
  <si>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</si>
  <si>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</si>
  <si>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</si>
  <si>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</si>
  <si>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</si>
  <si>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</si>
  <si>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</si>
  <si>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</si>
  <si>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</si>
  <si>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</si>
  <si>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</si>
  <si>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</si>
  <si>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</si>
  <si>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</si>
  <si>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</si>
  <si>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</si>
  <si>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</si>
  <si>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</si>
  <si>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</si>
  <si>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</si>
  <si>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</si>
  <si>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</si>
  <si>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</si>
  <si>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</si>
  <si>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</si>
  <si>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</si>
  <si>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</si>
  <si>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</si>
  <si>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</si>
  <si>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 xml:space="preserve">           Tesorería Nacional</t>
  </si>
  <si>
    <t>DIRECTV</t>
  </si>
  <si>
    <t>CARLOS CACERES</t>
  </si>
  <si>
    <t>ISAPRE COLMENA</t>
  </si>
  <si>
    <t>CHILQUINTA S.A.</t>
  </si>
  <si>
    <t>COÑARIPE</t>
  </si>
  <si>
    <t>HOGAR</t>
  </si>
  <si>
    <t>MARIA HUENULLAN</t>
  </si>
  <si>
    <t>Telefono Tesoreria</t>
  </si>
  <si>
    <t>HOGAR C</t>
  </si>
  <si>
    <t>SUELDO</t>
  </si>
  <si>
    <t>JUAN CIRO LOPEZ</t>
  </si>
  <si>
    <t>WALESKA AGUILAR</t>
  </si>
  <si>
    <t>ELBA QUEZADA</t>
  </si>
  <si>
    <t>VICTOR SALAZAR</t>
  </si>
  <si>
    <t>JULIETA VEGA</t>
  </si>
  <si>
    <t>ANA CANEO</t>
  </si>
  <si>
    <t>JULIO HORMAZABAL</t>
  </si>
  <si>
    <t>RAQUEL ARIAS</t>
  </si>
  <si>
    <t>CRISTINA SILVA</t>
  </si>
  <si>
    <t>FONDOS POR RENDIR</t>
  </si>
  <si>
    <t>Consumo luz Loncura</t>
  </si>
  <si>
    <t>Consumo agua</t>
  </si>
  <si>
    <t>Telefono Secretaria y Hogar</t>
  </si>
  <si>
    <t>Consumo luz Coñaripe - Mehuin</t>
  </si>
  <si>
    <t>Consumo luz</t>
  </si>
  <si>
    <t>Consumo Agua</t>
  </si>
  <si>
    <t>TV cable</t>
  </si>
  <si>
    <t>Consumo Luz</t>
  </si>
  <si>
    <t>Remplazo encargado hogar</t>
  </si>
  <si>
    <t>LONCURA</t>
  </si>
  <si>
    <t>Estadía</t>
  </si>
  <si>
    <t>Estadia Hogar</t>
  </si>
  <si>
    <t>REGIONAL MALLECO CAUTIN</t>
  </si>
  <si>
    <t>PABLO CACERES</t>
  </si>
  <si>
    <t>MARIANELA HERRERA</t>
  </si>
  <si>
    <t>CORPORCION ADMINISTRATIVA</t>
  </si>
  <si>
    <t>CORTE SUPREMA</t>
  </si>
  <si>
    <t>YEHIMY LLAMOCA</t>
  </si>
  <si>
    <t>COMITÉ AGUA MEHUIN</t>
  </si>
  <si>
    <t>Consumo agua Mehuin</t>
  </si>
  <si>
    <t>NAYARET QUEVEDO</t>
  </si>
  <si>
    <t>COM E IMPORT ENTRE LAPIZ Y PAPEL</t>
  </si>
  <si>
    <t>Articulos de escritorio</t>
  </si>
  <si>
    <t>REGIONAL SANTIAGO</t>
  </si>
  <si>
    <t>Deposito retenciones e impto</t>
  </si>
  <si>
    <t>ALVARO PARDOW</t>
  </si>
  <si>
    <t>HDI</t>
  </si>
  <si>
    <t>Seguro incendio</t>
  </si>
  <si>
    <t>MUNDO PACIFICO</t>
  </si>
  <si>
    <t>Internet Loncura</t>
  </si>
  <si>
    <t>MAPFRE</t>
  </si>
  <si>
    <t>MARCELO BARRIOS</t>
  </si>
  <si>
    <t>Asesoria juridica</t>
  </si>
  <si>
    <t>RODRIGO HERRERA</t>
  </si>
  <si>
    <t>Reembolso 50 % pje Consultivos</t>
  </si>
  <si>
    <t>CLAUDIA OPORTO</t>
  </si>
  <si>
    <t>JESSICA FUICA</t>
  </si>
  <si>
    <t xml:space="preserve">Mantención cabaña Coñaripe </t>
  </si>
  <si>
    <t>JUEGOS DEPORTIVOS</t>
  </si>
  <si>
    <t>REGIONALES</t>
  </si>
  <si>
    <t>Pago Garantia</t>
  </si>
  <si>
    <t>JULIO BERRIOS</t>
  </si>
  <si>
    <t>Pan Loncura</t>
  </si>
  <si>
    <t>WALDO CORTES</t>
  </si>
  <si>
    <t>KAREN LLANCA</t>
  </si>
  <si>
    <t>NICOL ELGUETA</t>
  </si>
  <si>
    <t>JUAN CAPELLI</t>
  </si>
  <si>
    <t>ELIAS CASTILLO</t>
  </si>
  <si>
    <t>LUIS CABRERA</t>
  </si>
  <si>
    <t>HECTOR TRUJILLO</t>
  </si>
  <si>
    <t>VALENTINA CACERES</t>
  </si>
  <si>
    <t xml:space="preserve">Reemplazo Licencia Medica Waleska </t>
  </si>
  <si>
    <t>LILIAN HUANCA</t>
  </si>
  <si>
    <t>VICTOR FERNANDEZ</t>
  </si>
  <si>
    <t>Verduras Loncura</t>
  </si>
  <si>
    <t>Celular institucional</t>
  </si>
  <si>
    <t>HOTEL ARICA</t>
  </si>
  <si>
    <t>Reserva habitaciones</t>
  </si>
  <si>
    <t>MANUEL GAJARDO</t>
  </si>
  <si>
    <t>Recarga Coñaripe</t>
  </si>
  <si>
    <t>EDKAR VILLORIA</t>
  </si>
  <si>
    <t>Gas</t>
  </si>
  <si>
    <t>Compra pasaje Claudia Oporto</t>
  </si>
  <si>
    <t>REGIONAL AYSEN</t>
  </si>
  <si>
    <t>JULIO  2023</t>
  </si>
  <si>
    <t>CARLOS VERDUGO</t>
  </si>
  <si>
    <t>RELACIONES PUBLICAS</t>
  </si>
  <si>
    <t>Servicio coperia Atención Taller Loncura</t>
  </si>
  <si>
    <t>Servicio garzon AtenciónTaller Loncura</t>
  </si>
  <si>
    <t>Servicio garzon Atención Taller Loncura</t>
  </si>
  <si>
    <t>Compra torta cumpleaños Pedro Caceceres</t>
  </si>
  <si>
    <t>Servicio maestro cocina Atención taller  Loncura</t>
  </si>
  <si>
    <t>Servicio garzon Atención taller Loncura</t>
  </si>
  <si>
    <t>RUTH  PARRA</t>
  </si>
  <si>
    <t>Elaboración pasteles Taller Loncura</t>
  </si>
  <si>
    <t>Compra toallas</t>
  </si>
  <si>
    <t>LUIS MEDINA</t>
  </si>
  <si>
    <t>Servicio maestro cocina Atención taller Loncura</t>
  </si>
  <si>
    <t>Rembolso viaticos, taller y consultivo</t>
  </si>
  <si>
    <t>Servicio mucama Atencion taller Loncura</t>
  </si>
  <si>
    <t>Compra articulos de aseo hogar</t>
  </si>
  <si>
    <t>Asesoria juridica junio</t>
  </si>
  <si>
    <t>Asesoria junio</t>
  </si>
  <si>
    <t>Compra articulos de aseo</t>
  </si>
  <si>
    <t>Recarga directv Loncura</t>
  </si>
  <si>
    <t>Atencion Comisión Puerto Rico</t>
  </si>
  <si>
    <t>Reembolso gastos taller y  reunión directorio</t>
  </si>
  <si>
    <t>Reunión consultivo y directorio junio</t>
  </si>
  <si>
    <t>Pasaje Davis Riquelme junio</t>
  </si>
  <si>
    <t>Gifcard cumpleaños Pablo Molina</t>
  </si>
  <si>
    <t>Gifcard cumpleaños  Pablo Caceres y Cynthia Bolanos</t>
  </si>
  <si>
    <t>RODRIGO SALINAS</t>
  </si>
  <si>
    <t>Reembolso gastos taller y reunión junio</t>
  </si>
  <si>
    <t>Pasaje Lilian Huanca Concepcion</t>
  </si>
  <si>
    <t>Pasaje Raquel Arias reunión directorio junio</t>
  </si>
  <si>
    <t>Diferencia compra articulos aseo</t>
  </si>
  <si>
    <t>SOFTLAND CLOUD</t>
  </si>
  <si>
    <t>Renovacion sistema contable</t>
  </si>
  <si>
    <t>Pasaje Marianela Herrera Concepción</t>
  </si>
  <si>
    <t>Pasaje Lilian Huanca reunion directorio julio</t>
  </si>
  <si>
    <t>REGINA ACUÑA</t>
  </si>
  <si>
    <t>Traslado directorio</t>
  </si>
  <si>
    <t>Compra gas coñaripe</t>
  </si>
  <si>
    <t>Compra pilas Coñaripe</t>
  </si>
  <si>
    <t>SERVICIO TECNICO QUINTERO</t>
  </si>
  <si>
    <t>Recarga extintores</t>
  </si>
  <si>
    <t>Pago imposiciones junio</t>
  </si>
  <si>
    <t>Impuesto y retenciones junio</t>
  </si>
  <si>
    <t xml:space="preserve">Gtos traslado encuentro tecnologia </t>
  </si>
  <si>
    <t>Reembolso viaticos taller y reunion directorio</t>
  </si>
  <si>
    <t>TESORERIA</t>
  </si>
  <si>
    <t>Contribuciones hogar C</t>
  </si>
  <si>
    <t xml:space="preserve">Uber traslado documentos contables </t>
  </si>
  <si>
    <t>REGIONAL ARICA</t>
  </si>
  <si>
    <t>ESTELA DIAZ</t>
  </si>
  <si>
    <t>Diseño digital taller loncura</t>
  </si>
  <si>
    <t>Cambio pasaje concepcion Lilian Huanca</t>
  </si>
  <si>
    <t>Asesoria estrategica junio</t>
  </si>
  <si>
    <t>Compra calefont Coñaripe</t>
  </si>
  <si>
    <t>GUIDO ARRIAZA</t>
  </si>
  <si>
    <t>Reemb. Taxi directorio nacional</t>
  </si>
  <si>
    <t>DAVIS RIQUELME</t>
  </si>
  <si>
    <t>Gastos traslado Revision tesoreria</t>
  </si>
  <si>
    <t>Gastos reunion y consultivo</t>
  </si>
  <si>
    <t>Revisión hogar visita hogar</t>
  </si>
  <si>
    <t>Reembolso compras atención Loncura</t>
  </si>
  <si>
    <t>Intervención Regional Concepción</t>
  </si>
  <si>
    <t>Compra calefont hogar C</t>
  </si>
  <si>
    <t>Reunión mesa Corte Suprema</t>
  </si>
  <si>
    <t>Visita Reg concepcion y Hogar</t>
  </si>
  <si>
    <t>Mantencion calefont  e instalacion coñaripe</t>
  </si>
  <si>
    <t>HOTEL DIEGO DE ALMAGRO</t>
  </si>
  <si>
    <t>Compra pilas grabadora</t>
  </si>
  <si>
    <t>Reembolso viaticos reuniones varias</t>
  </si>
  <si>
    <t>CONSTRUELEC SPA</t>
  </si>
  <si>
    <t>Cambio techumbre hogar A</t>
  </si>
  <si>
    <t>MAKALU CONSTRUCTORA SPA</t>
  </si>
  <si>
    <t>Destape baño hogar A e instalacion calefont hogar C</t>
  </si>
  <si>
    <t>JUAN ROJAS</t>
  </si>
  <si>
    <t>Mantención equipos PC y notebook oficina (5)</t>
  </si>
  <si>
    <t>Reembolso 50 % pje Asistencia taller</t>
  </si>
  <si>
    <t>JUAN CARLOS HIDALGO</t>
  </si>
  <si>
    <t>Viaticos Act ISP Costa Rica</t>
  </si>
  <si>
    <t>JAIME RETAMAL</t>
  </si>
  <si>
    <t>Gas Coñaripe</t>
  </si>
  <si>
    <t>Anticipo Taller genero</t>
  </si>
  <si>
    <t>Reembolso asistencia Regional Concepcion</t>
  </si>
  <si>
    <t>ALDO PEZOA</t>
  </si>
  <si>
    <t>Arreglo antena Señal Loncura</t>
  </si>
  <si>
    <t>ALVARO GONZALEZ</t>
  </si>
  <si>
    <t>Mandato bancario Regional Valparaiso</t>
  </si>
  <si>
    <t>Asesoria Mensual julio</t>
  </si>
  <si>
    <t>Almacenimiento gigas correos julio</t>
  </si>
  <si>
    <t>Julio</t>
  </si>
  <si>
    <t>Mantención jardín Loncura julio</t>
  </si>
  <si>
    <t>COMERCIAL ABUMAR</t>
  </si>
  <si>
    <t>Insumos Piscina Loncura</t>
  </si>
  <si>
    <t>Reeb gtos supervision obras hogar  y Concepcion</t>
  </si>
  <si>
    <t>Mantención cabaña Mehuin julio</t>
  </si>
  <si>
    <t>Error devolucion cambio calefont y dev. Diferencia por cambio</t>
  </si>
  <si>
    <t>Asesoria  directorio julio</t>
  </si>
  <si>
    <t>Mantención cabañas Coñaripe julio</t>
  </si>
  <si>
    <t>REGIONAL PUNTA ARENAS</t>
  </si>
  <si>
    <t>Reembolso 50 % pje Consultivo deporte</t>
  </si>
  <si>
    <t>Pasaje Raquel Arias visita Regional Talca</t>
  </si>
  <si>
    <t>Pasaje Lilian Huanca Negociacion remuneraciones</t>
  </si>
  <si>
    <t>Desratizacion Coñaripe julio</t>
  </si>
  <si>
    <t>Comra Calefont hogar C</t>
  </si>
  <si>
    <t>Reembolso reunion directorio y taller igualdad</t>
  </si>
  <si>
    <t>Servicio audiovisual abril, mayo , junio, julio</t>
  </si>
  <si>
    <t>CELSO MANCILLA</t>
  </si>
  <si>
    <t>Descuento mal efectuado Coñaripe</t>
  </si>
  <si>
    <t>Visita Coñaripe mant. Calenfot</t>
  </si>
  <si>
    <t>Reembolso gastos junio movilizacion</t>
  </si>
  <si>
    <t>Reembolso gastos reunion directorio y taller movilizacion</t>
  </si>
  <si>
    <t>Reembolso gastos  traslado vehiculo</t>
  </si>
  <si>
    <t>ANITA ELVIRA MALUENDA</t>
  </si>
  <si>
    <t>Aporte damnificados por inundacion</t>
  </si>
  <si>
    <t>Saldo fondos por rendir Taller Loncura</t>
  </si>
  <si>
    <t>Dif. Fdos compra pasaje Lilian Huanca Concepcion</t>
  </si>
  <si>
    <t>Dif. Fdos compra pasaje Davis Riquelme reunion</t>
  </si>
  <si>
    <t>Dif. Fdos compra pasaje Raquel Arias</t>
  </si>
  <si>
    <t>Dif. Fdos compra pasaje Lilian Huanca reunion</t>
  </si>
  <si>
    <t>Saldo compra pasaje sra Marianela Concepcion</t>
  </si>
  <si>
    <t xml:space="preserve">Devolucion compra jumbo </t>
  </si>
  <si>
    <t>Devolucion erronea</t>
  </si>
  <si>
    <t>Devolucion fondos por rendir coñaripe</t>
  </si>
  <si>
    <t>MEHUIN</t>
  </si>
  <si>
    <t>REGIONAL RANCAGUA</t>
  </si>
  <si>
    <t>Devolución prestamo</t>
  </si>
  <si>
    <t>SALDO EN CTA. CTE. AL 31/07/2023</t>
  </si>
  <si>
    <t>SANTIAGO, 17/08/2023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</si>
</sst>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rgb="FF9933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81" fontId="7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181" fontId="12" fillId="0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181" fontId="5" fillId="34" borderId="17" xfId="0" applyNumberFormat="1" applyFont="1" applyFill="1" applyBorder="1" applyAlignment="1">
      <alignment horizontal="right"/>
    </xf>
    <xf numFmtId="181" fontId="5" fillId="34" borderId="14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81" fontId="7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7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34" borderId="17" xfId="0" applyFont="1" applyFill="1" applyBorder="1" applyAlignment="1">
      <alignment horizontal="center"/>
    </xf>
    <xf numFmtId="181" fontId="5" fillId="34" borderId="27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7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7" fillId="33" borderId="36" xfId="0" applyNumberFormat="1" applyFont="1" applyFill="1" applyBorder="1" applyAlignment="1">
      <alignment horizontal="center"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0" fontId="2" fillId="0" borderId="48" xfId="0" applyFont="1" applyFill="1" applyBorder="1" applyAlignment="1">
      <alignment/>
    </xf>
    <xf numFmtId="9" fontId="2" fillId="0" borderId="49" xfId="55" applyFont="1" applyFill="1" applyBorder="1" applyAlignment="1">
      <alignment/>
    </xf>
    <xf numFmtId="181" fontId="15" fillId="0" borderId="0" xfId="0" applyNumberFormat="1" applyFont="1" applyFill="1" applyBorder="1" applyAlignment="1">
      <alignment horizontal="center"/>
    </xf>
    <xf numFmtId="181" fontId="2" fillId="0" borderId="41" xfId="0" applyNumberFormat="1" applyFont="1" applyFill="1" applyBorder="1" applyAlignment="1">
      <alignment/>
    </xf>
    <xf numFmtId="9" fontId="2" fillId="0" borderId="41" xfId="55" applyFont="1" applyFill="1" applyBorder="1" applyAlignment="1">
      <alignment/>
    </xf>
    <xf numFmtId="9" fontId="2" fillId="0" borderId="47" xfId="55" applyFont="1" applyFill="1" applyBorder="1" applyAlignment="1">
      <alignment/>
    </xf>
    <xf numFmtId="9" fontId="2" fillId="0" borderId="30" xfId="55" applyFont="1" applyFill="1" applyBorder="1" applyAlignment="1">
      <alignment/>
    </xf>
    <xf numFmtId="0" fontId="0" fillId="0" borderId="30" xfId="0" applyBorder="1" applyAlignment="1">
      <alignment/>
    </xf>
    <xf numFmtId="9" fontId="3" fillId="0" borderId="41" xfId="55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  <xf numFmtId="181" fontId="4" fillId="0" borderId="4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22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D191" sqref="D191"/>
    </sheetView>
  </sheetViews>
  <sheetFormatPr defaultColWidth="11.421875" defaultRowHeight="12.75" outlineLevelRow="2"/>
  <cols>
    <col min="1" max="1" width="2.140625" style="1" customWidth="1"/>
    <col min="2" max="2" width="42.1406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3" t="s">
        <v>16</v>
      </c>
      <c r="C4" s="2"/>
      <c r="D4" s="2"/>
      <c r="E4" s="3"/>
      <c r="F4" s="4"/>
      <c r="G4" s="4"/>
    </row>
    <row r="5" spans="2:7" ht="14.25">
      <c r="B5" s="24" t="s">
        <v>155</v>
      </c>
      <c r="C5" s="10"/>
      <c r="D5" s="10"/>
      <c r="E5" s="3"/>
      <c r="F5" s="4"/>
      <c r="G5" s="4"/>
    </row>
    <row r="6" spans="4:7" ht="12.75" thickBot="1">
      <c r="D6" s="18"/>
      <c r="E6" s="25"/>
      <c r="F6" s="26" t="s">
        <v>26</v>
      </c>
      <c r="G6" s="25">
        <v>178641057</v>
      </c>
    </row>
    <row r="7" spans="2:7" ht="24" customHeight="1" thickBot="1">
      <c r="B7" s="72" t="s">
        <v>0</v>
      </c>
      <c r="C7" s="55"/>
      <c r="D7" s="29" t="s">
        <v>43</v>
      </c>
      <c r="E7" s="72"/>
      <c r="F7" s="29" t="s">
        <v>1</v>
      </c>
      <c r="G7" s="29" t="s">
        <v>2</v>
      </c>
    </row>
    <row r="8" spans="1:7" ht="12" outlineLevel="2">
      <c r="A8" s="5"/>
      <c r="B8" s="81" t="s">
        <v>3</v>
      </c>
      <c r="C8" s="56"/>
      <c r="D8" s="69"/>
      <c r="E8" s="73"/>
      <c r="F8" s="71"/>
      <c r="G8" s="19"/>
    </row>
    <row r="9" spans="1:7" ht="11.25" outlineLevel="2">
      <c r="A9" s="5"/>
      <c r="B9" s="82"/>
      <c r="C9" s="56"/>
      <c r="D9" s="69"/>
      <c r="E9" s="74"/>
      <c r="F9" s="27"/>
      <c r="G9" s="20"/>
    </row>
    <row r="10" spans="1:7" ht="15.75" customHeight="1" outlineLevel="2">
      <c r="A10" s="5"/>
      <c r="B10" s="83" t="s">
        <v>4</v>
      </c>
      <c r="C10" s="31"/>
      <c r="D10" s="11"/>
      <c r="E10" s="21"/>
      <c r="F10" s="28">
        <f>SUM(E11:E29)</f>
        <v>23955400</v>
      </c>
      <c r="G10" s="21"/>
    </row>
    <row r="11" spans="1:7" ht="15" customHeight="1" hidden="1" outlineLevel="2">
      <c r="A11" s="5"/>
      <c r="B11" s="62" t="s">
        <v>32</v>
      </c>
      <c r="C11" s="30">
        <v>68</v>
      </c>
      <c r="D11" s="70"/>
      <c r="E11" s="67">
        <v>442000</v>
      </c>
      <c r="F11" s="6"/>
      <c r="G11" s="21"/>
    </row>
    <row r="12" spans="1:7" ht="15" customHeight="1" hidden="1" outlineLevel="2">
      <c r="A12" s="5"/>
      <c r="B12" s="62" t="s">
        <v>27</v>
      </c>
      <c r="C12" s="30">
        <v>95</v>
      </c>
      <c r="D12" s="70"/>
      <c r="E12" s="67">
        <v>617500</v>
      </c>
      <c r="F12" s="6"/>
      <c r="G12" s="21"/>
    </row>
    <row r="13" spans="1:7" ht="15" customHeight="1" hidden="1" outlineLevel="2">
      <c r="A13" s="5"/>
      <c r="B13" s="62" t="s">
        <v>30</v>
      </c>
      <c r="C13" s="30">
        <f>1+207</f>
        <v>208</v>
      </c>
      <c r="D13" s="70"/>
      <c r="E13" s="67">
        <f>6500+1345500</f>
        <v>1352000</v>
      </c>
      <c r="F13" s="6"/>
      <c r="G13" s="21"/>
    </row>
    <row r="14" spans="1:7" ht="15" customHeight="1" hidden="1" outlineLevel="2">
      <c r="A14" s="5"/>
      <c r="B14" s="62" t="s">
        <v>33</v>
      </c>
      <c r="C14" s="30">
        <f>144+1</f>
        <v>145</v>
      </c>
      <c r="D14" s="70"/>
      <c r="E14" s="66">
        <f>936000+6500</f>
        <v>942500</v>
      </c>
      <c r="F14" s="6"/>
      <c r="G14" s="21"/>
    </row>
    <row r="15" spans="1:7" ht="15" customHeight="1" hidden="1" outlineLevel="2">
      <c r="A15" s="5"/>
      <c r="B15" s="62" t="s">
        <v>25</v>
      </c>
      <c r="C15" s="30">
        <f>1+239+1+1</f>
        <v>242</v>
      </c>
      <c r="D15" s="70"/>
      <c r="E15" s="67">
        <f>5000+903500+2300+2400</f>
        <v>913200</v>
      </c>
      <c r="F15" s="6"/>
      <c r="G15" s="21"/>
    </row>
    <row r="16" spans="1:7" ht="15" customHeight="1" hidden="1" outlineLevel="2">
      <c r="A16" s="5"/>
      <c r="B16" s="62" t="s">
        <v>34</v>
      </c>
      <c r="C16" s="30">
        <f>1+415</f>
        <v>416</v>
      </c>
      <c r="D16" s="70"/>
      <c r="E16" s="67">
        <f>24000+2697500</f>
        <v>2721500</v>
      </c>
      <c r="F16" s="6"/>
      <c r="G16" s="21"/>
    </row>
    <row r="17" spans="1:7" ht="15" customHeight="1" hidden="1" outlineLevel="2">
      <c r="A17" s="5"/>
      <c r="B17" s="62" t="s">
        <v>35</v>
      </c>
      <c r="C17" s="30">
        <f>1+1+1+1+1+1+488+1+1</f>
        <v>496</v>
      </c>
      <c r="D17" s="70"/>
      <c r="E17" s="67">
        <f>2400+2200+2200+2200+19200+20800+3172000+6500+5600</f>
        <v>3233100</v>
      </c>
      <c r="F17" s="6"/>
      <c r="G17" s="21"/>
    </row>
    <row r="18" spans="1:7" ht="15" customHeight="1" hidden="1" outlineLevel="2">
      <c r="A18" s="5"/>
      <c r="B18" s="62" t="s">
        <v>107</v>
      </c>
      <c r="C18" s="30">
        <v>49</v>
      </c>
      <c r="D18" s="70"/>
      <c r="E18" s="67">
        <v>318500</v>
      </c>
      <c r="F18" s="6"/>
      <c r="G18" s="21"/>
    </row>
    <row r="19" spans="1:7" ht="15" customHeight="1" hidden="1" outlineLevel="2">
      <c r="A19" s="5"/>
      <c r="B19" s="62" t="s">
        <v>106</v>
      </c>
      <c r="C19" s="30">
        <v>61</v>
      </c>
      <c r="D19" s="70"/>
      <c r="E19" s="67">
        <v>396500</v>
      </c>
      <c r="F19" s="6"/>
      <c r="G19" s="21"/>
    </row>
    <row r="20" spans="1:7" ht="15" customHeight="1" hidden="1" outlineLevel="2">
      <c r="A20" s="5"/>
      <c r="B20" s="62" t="s">
        <v>36</v>
      </c>
      <c r="C20" s="30">
        <f>1+300+1</f>
        <v>302</v>
      </c>
      <c r="D20" s="70"/>
      <c r="E20" s="67">
        <f>2200+1950000+2200</f>
        <v>1954400</v>
      </c>
      <c r="F20" s="6"/>
      <c r="G20" s="21"/>
    </row>
    <row r="21" spans="1:7" ht="15" customHeight="1" hidden="1" outlineLevel="2">
      <c r="A21" s="5"/>
      <c r="B21" s="62" t="s">
        <v>37</v>
      </c>
      <c r="C21" s="30">
        <f>1+133+1+1</f>
        <v>136</v>
      </c>
      <c r="D21" s="70"/>
      <c r="E21" s="67">
        <f>7200+19200+864500+2200</f>
        <v>893100</v>
      </c>
      <c r="F21" s="6"/>
      <c r="G21" s="21"/>
    </row>
    <row r="22" spans="1:7" ht="15" customHeight="1" hidden="1" outlineLevel="2">
      <c r="A22" s="5"/>
      <c r="B22" s="62" t="s">
        <v>38</v>
      </c>
      <c r="C22" s="30">
        <v>274</v>
      </c>
      <c r="D22" s="70"/>
      <c r="E22" s="66">
        <v>1781000</v>
      </c>
      <c r="F22" s="6"/>
      <c r="G22" s="21"/>
    </row>
    <row r="23" spans="1:7" ht="15" customHeight="1" hidden="1" outlineLevel="2">
      <c r="A23" s="5"/>
      <c r="B23" s="62" t="s">
        <v>23</v>
      </c>
      <c r="C23" s="30">
        <f>1+1+100</f>
        <v>102</v>
      </c>
      <c r="D23" s="70"/>
      <c r="E23" s="67">
        <f>9600+2600+650000</f>
        <v>662200</v>
      </c>
      <c r="F23" s="6"/>
      <c r="G23" s="21"/>
    </row>
    <row r="24" spans="1:7" ht="15" customHeight="1" hidden="1" outlineLevel="2">
      <c r="A24" s="5"/>
      <c r="B24" s="62" t="s">
        <v>39</v>
      </c>
      <c r="C24" s="30">
        <f>1+1+333+1</f>
        <v>336</v>
      </c>
      <c r="D24" s="70"/>
      <c r="E24" s="67">
        <f>2400+2200+2164500+2600</f>
        <v>2171700</v>
      </c>
      <c r="F24" s="6"/>
      <c r="G24" s="21"/>
    </row>
    <row r="25" spans="1:7" ht="15" customHeight="1" hidden="1" outlineLevel="2">
      <c r="A25" s="5"/>
      <c r="B25" s="62" t="s">
        <v>28</v>
      </c>
      <c r="C25" s="30">
        <f>1+1+248+1</f>
        <v>251</v>
      </c>
      <c r="D25" s="70"/>
      <c r="E25" s="67">
        <v>1553500</v>
      </c>
      <c r="F25" s="6"/>
      <c r="G25" s="21"/>
    </row>
    <row r="26" spans="1:7" ht="15" customHeight="1" hidden="1" outlineLevel="2">
      <c r="A26" s="5"/>
      <c r="B26" s="62" t="s">
        <v>40</v>
      </c>
      <c r="C26" s="30">
        <f>1+202+1</f>
        <v>204</v>
      </c>
      <c r="D26" s="70"/>
      <c r="E26" s="67">
        <f>2600+1313000+2600</f>
        <v>1318200</v>
      </c>
      <c r="F26" s="6"/>
      <c r="G26" s="21"/>
    </row>
    <row r="27" spans="1:7" ht="15" customHeight="1" hidden="1" outlineLevel="2">
      <c r="A27" s="5"/>
      <c r="B27" s="62" t="s">
        <v>29</v>
      </c>
      <c r="C27" s="30">
        <f>192+1</f>
        <v>193</v>
      </c>
      <c r="D27" s="70"/>
      <c r="E27" s="67">
        <f>1248000+6500</f>
        <v>1254500</v>
      </c>
      <c r="F27" s="6"/>
      <c r="G27" s="21"/>
    </row>
    <row r="28" spans="1:7" ht="15" customHeight="1" hidden="1" outlineLevel="2">
      <c r="A28" s="5"/>
      <c r="B28" s="62" t="s">
        <v>41</v>
      </c>
      <c r="C28" s="30">
        <f>1+115</f>
        <v>116</v>
      </c>
      <c r="D28" s="70"/>
      <c r="E28" s="67">
        <f>6500+747500</f>
        <v>754000</v>
      </c>
      <c r="F28" s="6"/>
      <c r="G28" s="21"/>
    </row>
    <row r="29" spans="1:7" ht="14.25" customHeight="1" hidden="1" outlineLevel="2">
      <c r="A29" s="5"/>
      <c r="B29" s="62" t="s">
        <v>42</v>
      </c>
      <c r="C29" s="30">
        <v>104</v>
      </c>
      <c r="D29" s="70"/>
      <c r="E29" s="75">
        <v>676000</v>
      </c>
      <c r="F29" s="6"/>
      <c r="G29" s="21"/>
    </row>
    <row r="30" spans="1:7" ht="12" customHeight="1" outlineLevel="2">
      <c r="A30" s="5"/>
      <c r="B30" s="84"/>
      <c r="C30" s="5"/>
      <c r="D30" s="60"/>
      <c r="E30" s="75"/>
      <c r="F30" s="6"/>
      <c r="G30" s="21"/>
    </row>
    <row r="31" spans="1:7" ht="15" customHeight="1" outlineLevel="2">
      <c r="A31" s="5"/>
      <c r="B31" s="83" t="s">
        <v>5</v>
      </c>
      <c r="C31" s="11"/>
      <c r="D31" s="60"/>
      <c r="E31" s="67"/>
      <c r="F31" s="6"/>
      <c r="G31" s="21"/>
    </row>
    <row r="32" spans="1:7" ht="15" customHeight="1" outlineLevel="2">
      <c r="A32" s="5"/>
      <c r="B32" s="62" t="s">
        <v>76</v>
      </c>
      <c r="C32" s="11"/>
      <c r="D32" s="5" t="s">
        <v>102</v>
      </c>
      <c r="E32" s="67">
        <f>13000+5000+39000+182000+52000+26000+26000+54600+19500+26000+87920+65000+17333+17333+26000+8667+8667+19500+34667+34666+54167+19500+42250+208000+71500+39000</f>
        <v>1197270</v>
      </c>
      <c r="F32" s="6"/>
      <c r="G32" s="21"/>
    </row>
    <row r="33" spans="1:7" ht="15" customHeight="1" outlineLevel="2">
      <c r="A33" s="5"/>
      <c r="B33" s="62" t="s">
        <v>114</v>
      </c>
      <c r="C33" s="30"/>
      <c r="D33" s="5" t="s">
        <v>115</v>
      </c>
      <c r="E33" s="67">
        <f>5977+60000+57143+9414+16437</f>
        <v>148971</v>
      </c>
      <c r="F33" s="6"/>
      <c r="G33" s="21"/>
    </row>
    <row r="34" spans="1:7" ht="15" customHeight="1" outlineLevel="2">
      <c r="A34" s="5"/>
      <c r="B34" s="62" t="s">
        <v>279</v>
      </c>
      <c r="C34" s="30"/>
      <c r="D34" s="5" t="s">
        <v>280</v>
      </c>
      <c r="E34" s="67">
        <v>5000000</v>
      </c>
      <c r="F34" s="6"/>
      <c r="G34" s="21"/>
    </row>
    <row r="35" spans="1:7" ht="15" customHeight="1" outlineLevel="2">
      <c r="A35" s="5"/>
      <c r="B35" s="62" t="s">
        <v>55</v>
      </c>
      <c r="C35" s="30"/>
      <c r="D35" s="5" t="s">
        <v>270</v>
      </c>
      <c r="E35" s="67">
        <v>3424</v>
      </c>
      <c r="F35" s="6"/>
      <c r="G35" s="21"/>
    </row>
    <row r="36" spans="1:7" ht="15" customHeight="1" outlineLevel="2">
      <c r="A36" s="5"/>
      <c r="B36" s="62" t="s">
        <v>55</v>
      </c>
      <c r="C36" s="30"/>
      <c r="D36" s="5" t="s">
        <v>271</v>
      </c>
      <c r="E36" s="67">
        <v>696</v>
      </c>
      <c r="F36" s="6"/>
      <c r="G36" s="21"/>
    </row>
    <row r="37" spans="1:7" ht="15" customHeight="1" outlineLevel="2">
      <c r="A37" s="5"/>
      <c r="B37" s="62" t="s">
        <v>55</v>
      </c>
      <c r="C37" s="30"/>
      <c r="D37" s="5" t="s">
        <v>272</v>
      </c>
      <c r="E37" s="67">
        <v>2180</v>
      </c>
      <c r="F37" s="6"/>
      <c r="G37" s="21"/>
    </row>
    <row r="38" spans="1:7" ht="15" customHeight="1" outlineLevel="2">
      <c r="A38" s="5"/>
      <c r="B38" s="62" t="s">
        <v>55</v>
      </c>
      <c r="C38" s="30"/>
      <c r="D38" s="5" t="s">
        <v>273</v>
      </c>
      <c r="E38" s="67">
        <v>4876</v>
      </c>
      <c r="F38" s="6"/>
      <c r="G38" s="21"/>
    </row>
    <row r="39" spans="1:7" ht="15" customHeight="1" outlineLevel="2">
      <c r="A39" s="5"/>
      <c r="B39" s="62" t="s">
        <v>55</v>
      </c>
      <c r="C39" s="30"/>
      <c r="D39" s="5" t="s">
        <v>276</v>
      </c>
      <c r="E39" s="67">
        <v>6779</v>
      </c>
      <c r="F39" s="6"/>
      <c r="G39" s="21"/>
    </row>
    <row r="40" spans="1:7" ht="15" customHeight="1" outlineLevel="2">
      <c r="A40" s="5"/>
      <c r="B40" s="62" t="s">
        <v>267</v>
      </c>
      <c r="C40" s="30"/>
      <c r="D40" s="5" t="s">
        <v>268</v>
      </c>
      <c r="E40" s="67">
        <v>20000</v>
      </c>
      <c r="F40" s="6"/>
      <c r="G40" s="21"/>
    </row>
    <row r="41" spans="1:7" ht="15.75" customHeight="1" outlineLevel="2">
      <c r="A41" s="5"/>
      <c r="B41" s="62" t="s">
        <v>55</v>
      </c>
      <c r="C41" s="30"/>
      <c r="D41" s="5" t="s">
        <v>274</v>
      </c>
      <c r="E41" s="67">
        <v>876</v>
      </c>
      <c r="F41" s="6"/>
      <c r="G41" s="21"/>
    </row>
    <row r="42" spans="1:7" ht="15.75" customHeight="1" outlineLevel="2">
      <c r="A42" s="5"/>
      <c r="B42" s="62" t="s">
        <v>58</v>
      </c>
      <c r="C42" s="30"/>
      <c r="D42" s="5" t="s">
        <v>269</v>
      </c>
      <c r="E42" s="67">
        <v>21596</v>
      </c>
      <c r="F42" s="6"/>
      <c r="G42" s="21"/>
    </row>
    <row r="43" spans="1:7" ht="15.75" customHeight="1" outlineLevel="2">
      <c r="A43" s="5"/>
      <c r="B43" s="62" t="s">
        <v>67</v>
      </c>
      <c r="C43" s="30"/>
      <c r="D43" s="5" t="s">
        <v>275</v>
      </c>
      <c r="E43" s="67">
        <v>400</v>
      </c>
      <c r="F43" s="6"/>
      <c r="G43" s="21"/>
    </row>
    <row r="44" spans="1:7" ht="15.75" customHeight="1" outlineLevel="2">
      <c r="A44" s="5"/>
      <c r="B44" s="62" t="s">
        <v>88</v>
      </c>
      <c r="C44" s="30"/>
      <c r="D44" s="5" t="s">
        <v>277</v>
      </c>
      <c r="E44" s="67">
        <v>10010</v>
      </c>
      <c r="F44" s="6">
        <f>SUM(E32:E44)</f>
        <v>6417078</v>
      </c>
      <c r="G44" s="21"/>
    </row>
    <row r="45" spans="1:7" ht="15" customHeight="1" outlineLevel="2">
      <c r="A45" s="5"/>
      <c r="B45" s="62"/>
      <c r="C45" s="30"/>
      <c r="D45" s="5"/>
      <c r="E45" s="67"/>
      <c r="F45" s="6"/>
      <c r="G45" s="21"/>
    </row>
    <row r="46" spans="1:7" ht="15" customHeight="1" outlineLevel="2">
      <c r="A46" s="5"/>
      <c r="B46" s="83" t="s">
        <v>129</v>
      </c>
      <c r="C46" s="30"/>
      <c r="D46" s="5"/>
      <c r="E46" s="67"/>
      <c r="F46" s="6"/>
      <c r="G46" s="21"/>
    </row>
    <row r="47" spans="1:7" ht="15" customHeight="1" outlineLevel="2">
      <c r="A47" s="5"/>
      <c r="B47" s="62" t="s">
        <v>130</v>
      </c>
      <c r="C47" s="30"/>
      <c r="D47" s="5" t="s">
        <v>131</v>
      </c>
      <c r="E47" s="67">
        <f>300000+390000+420000+120000</f>
        <v>1230000</v>
      </c>
      <c r="F47" s="6">
        <f>E47</f>
        <v>1230000</v>
      </c>
      <c r="G47" s="21"/>
    </row>
    <row r="48" spans="1:7" ht="15" customHeight="1" outlineLevel="2">
      <c r="A48" s="5"/>
      <c r="B48" s="62"/>
      <c r="C48" s="30"/>
      <c r="D48" s="5"/>
      <c r="E48" s="67"/>
      <c r="F48" s="6"/>
      <c r="G48" s="21"/>
    </row>
    <row r="49" spans="1:7" ht="15" customHeight="1" outlineLevel="2">
      <c r="A49" s="5" t="s">
        <v>7</v>
      </c>
      <c r="B49" s="83" t="s">
        <v>8</v>
      </c>
      <c r="C49" s="31"/>
      <c r="D49" s="11"/>
      <c r="E49" s="67"/>
      <c r="F49" s="6"/>
      <c r="G49" s="21"/>
    </row>
    <row r="50" spans="1:7" ht="15" customHeight="1" outlineLevel="2">
      <c r="A50" s="5"/>
      <c r="B50" s="62" t="s">
        <v>100</v>
      </c>
      <c r="C50" s="31"/>
      <c r="D50" s="5" t="s">
        <v>101</v>
      </c>
      <c r="E50" s="67">
        <f>5600+92000+100000+92152+73640+115050+50000+74000+155000+100000+45540+59033+96350+266000+161288+60729+151800+50600+50600+60720+50600+60720+53130+50600+102465+248315+47438+106260+53850+114090+179220+118067+80000+50600+151800+65250+97500+17333+50231+200205+73640+70840+136620+60550+34155+58600+118067+239530+19700+177100+253700+70000</f>
        <v>5070278</v>
      </c>
      <c r="F50" s="6"/>
      <c r="G50" s="21"/>
    </row>
    <row r="51" spans="1:7" ht="15" customHeight="1" outlineLevel="2">
      <c r="A51" s="5"/>
      <c r="B51" s="62" t="s">
        <v>278</v>
      </c>
      <c r="C51" s="31"/>
      <c r="D51" s="5" t="s">
        <v>101</v>
      </c>
      <c r="E51" s="67">
        <v>20000</v>
      </c>
      <c r="F51" s="6"/>
      <c r="G51" s="21"/>
    </row>
    <row r="52" spans="1:7" ht="15" customHeight="1" outlineLevel="2" thickBot="1">
      <c r="A52" s="5"/>
      <c r="B52" s="85" t="s">
        <v>75</v>
      </c>
      <c r="C52" s="31"/>
      <c r="D52" s="59" t="s">
        <v>101</v>
      </c>
      <c r="E52" s="110">
        <f>175000+42000+42000+23333+35000+35000+35000+42000+42000+49000+35000+40480+42000+43750+36000+42000+42000+40000+42000+42000+43750</f>
        <v>969313</v>
      </c>
      <c r="F52" s="98">
        <f>SUM(E50:E52)</f>
        <v>6059591</v>
      </c>
      <c r="G52" s="99"/>
    </row>
    <row r="53" spans="1:7" ht="12" outlineLevel="2">
      <c r="A53" s="5"/>
      <c r="B53" s="86" t="s">
        <v>9</v>
      </c>
      <c r="C53" s="77"/>
      <c r="D53" s="5"/>
      <c r="E53" s="62"/>
      <c r="F53" s="6"/>
      <c r="G53" s="66"/>
    </row>
    <row r="54" spans="1:7" ht="15" customHeight="1" outlineLevel="2">
      <c r="A54" s="5"/>
      <c r="B54" s="83" t="s">
        <v>10</v>
      </c>
      <c r="C54" s="78"/>
      <c r="D54" s="11"/>
      <c r="E54" s="67"/>
      <c r="F54" s="6"/>
      <c r="G54" s="66"/>
    </row>
    <row r="55" spans="1:7" ht="14.25" customHeight="1" outlineLevel="2">
      <c r="A55" s="5"/>
      <c r="B55" s="62" t="s">
        <v>187</v>
      </c>
      <c r="C55" s="78"/>
      <c r="D55" s="5" t="s">
        <v>188</v>
      </c>
      <c r="E55" s="67">
        <v>1027451</v>
      </c>
      <c r="F55" s="6"/>
      <c r="G55" s="66"/>
    </row>
    <row r="56" spans="1:7" ht="14.25" customHeight="1" outlineLevel="2">
      <c r="A56" s="5"/>
      <c r="B56" s="62" t="s">
        <v>55</v>
      </c>
      <c r="C56" s="78"/>
      <c r="D56" s="5" t="s">
        <v>203</v>
      </c>
      <c r="E56" s="67">
        <v>11706</v>
      </c>
      <c r="F56" s="6"/>
      <c r="G56" s="66"/>
    </row>
    <row r="57" spans="1:7" ht="14.25" customHeight="1" outlineLevel="2">
      <c r="A57" s="5"/>
      <c r="B57" s="62" t="s">
        <v>112</v>
      </c>
      <c r="C57" s="78"/>
      <c r="D57" s="5" t="s">
        <v>113</v>
      </c>
      <c r="E57" s="67">
        <v>96256</v>
      </c>
      <c r="F57" s="6"/>
      <c r="G57" s="66"/>
    </row>
    <row r="58" spans="1:7" ht="14.25" customHeight="1" outlineLevel="2">
      <c r="A58" s="5"/>
      <c r="B58" s="62" t="s">
        <v>229</v>
      </c>
      <c r="C58" s="78"/>
      <c r="D58" s="5" t="s">
        <v>230</v>
      </c>
      <c r="E58" s="67">
        <v>100000</v>
      </c>
      <c r="F58" s="6"/>
      <c r="G58" s="66"/>
    </row>
    <row r="59" spans="1:7" ht="14.25" customHeight="1" outlineLevel="2">
      <c r="A59" s="5"/>
      <c r="B59" s="62" t="s">
        <v>240</v>
      </c>
      <c r="C59" s="78"/>
      <c r="D59" s="5" t="s">
        <v>241</v>
      </c>
      <c r="E59" s="67">
        <v>65000</v>
      </c>
      <c r="F59" s="6"/>
      <c r="G59" s="66"/>
    </row>
    <row r="60" spans="1:7" ht="14.25" customHeight="1" outlineLevel="2">
      <c r="A60" s="5"/>
      <c r="B60" s="62" t="s">
        <v>116</v>
      </c>
      <c r="C60" s="78"/>
      <c r="D60" s="5" t="s">
        <v>243</v>
      </c>
      <c r="E60" s="67">
        <v>60690</v>
      </c>
      <c r="F60" s="6"/>
      <c r="G60" s="66"/>
    </row>
    <row r="61" spans="1:7" ht="14.25" customHeight="1" outlineLevel="2">
      <c r="A61" s="5"/>
      <c r="B61" s="62" t="s">
        <v>116</v>
      </c>
      <c r="C61" s="78"/>
      <c r="D61" s="5" t="s">
        <v>242</v>
      </c>
      <c r="E61" s="67">
        <v>348000</v>
      </c>
      <c r="F61" s="6"/>
      <c r="G61" s="66"/>
    </row>
    <row r="62" spans="1:7" ht="14.25" customHeight="1" outlineLevel="2">
      <c r="A62" s="5"/>
      <c r="B62" s="62" t="s">
        <v>143</v>
      </c>
      <c r="C62" s="78"/>
      <c r="D62" s="5" t="s">
        <v>223</v>
      </c>
      <c r="E62" s="67">
        <v>8990</v>
      </c>
      <c r="F62" s="6"/>
      <c r="G62" s="66"/>
    </row>
    <row r="63" spans="1:7" ht="14.25" customHeight="1" outlineLevel="2">
      <c r="A63" s="5"/>
      <c r="B63" s="62" t="s">
        <v>143</v>
      </c>
      <c r="C63" s="78"/>
      <c r="D63" s="5" t="s">
        <v>161</v>
      </c>
      <c r="E63" s="67">
        <v>25000</v>
      </c>
      <c r="F63" s="6"/>
      <c r="G63" s="66"/>
    </row>
    <row r="64" spans="1:7" ht="14.25" customHeight="1" outlineLevel="2">
      <c r="A64" s="5"/>
      <c r="B64" s="62" t="s">
        <v>103</v>
      </c>
      <c r="C64" s="78"/>
      <c r="D64" s="5" t="s">
        <v>197</v>
      </c>
      <c r="E64" s="67">
        <v>187061</v>
      </c>
      <c r="F64" s="6"/>
      <c r="G64" s="66"/>
    </row>
    <row r="65" spans="1:7" ht="15" customHeight="1" outlineLevel="2">
      <c r="A65" s="5"/>
      <c r="B65" s="62" t="s">
        <v>61</v>
      </c>
      <c r="C65" s="78"/>
      <c r="D65" s="5" t="s">
        <v>95</v>
      </c>
      <c r="E65" s="67">
        <v>359581</v>
      </c>
      <c r="F65" s="6"/>
      <c r="G65" s="66"/>
    </row>
    <row r="66" spans="1:7" ht="15" customHeight="1" outlineLevel="2">
      <c r="A66" s="5"/>
      <c r="B66" s="62" t="s">
        <v>68</v>
      </c>
      <c r="C66" s="78"/>
      <c r="D66" s="5" t="s">
        <v>92</v>
      </c>
      <c r="E66" s="67">
        <v>44053</v>
      </c>
      <c r="F66" s="6"/>
      <c r="G66" s="66"/>
    </row>
    <row r="67" spans="1:7" ht="15" customHeight="1" outlineLevel="2">
      <c r="A67" s="5"/>
      <c r="B67" s="62" t="s">
        <v>22</v>
      </c>
      <c r="C67" s="78"/>
      <c r="D67" s="5" t="s">
        <v>78</v>
      </c>
      <c r="E67" s="67">
        <v>45930</v>
      </c>
      <c r="F67" s="6"/>
      <c r="G67" s="66"/>
    </row>
    <row r="68" spans="1:7" ht="15" customHeight="1" outlineLevel="2">
      <c r="A68" s="5"/>
      <c r="B68" s="62" t="s">
        <v>22</v>
      </c>
      <c r="C68" s="78"/>
      <c r="D68" s="5" t="s">
        <v>93</v>
      </c>
      <c r="E68" s="75">
        <v>93952</v>
      </c>
      <c r="F68" s="6"/>
      <c r="G68" s="66">
        <f>SUM(E55:E68)</f>
        <v>2473670</v>
      </c>
    </row>
    <row r="69" spans="1:7" ht="15" customHeight="1" outlineLevel="2">
      <c r="A69" s="5"/>
      <c r="B69" s="62"/>
      <c r="C69" s="78"/>
      <c r="D69" s="5"/>
      <c r="E69" s="75"/>
      <c r="F69" s="6"/>
      <c r="G69" s="66"/>
    </row>
    <row r="70" spans="1:7" ht="15" customHeight="1" outlineLevel="2">
      <c r="A70" s="5"/>
      <c r="B70" s="83" t="s">
        <v>8</v>
      </c>
      <c r="C70" s="78"/>
      <c r="D70" s="11"/>
      <c r="E70" s="67"/>
      <c r="F70" s="6"/>
      <c r="G70" s="66"/>
    </row>
    <row r="71" spans="1:7" s="106" customFormat="1" ht="16.5" customHeight="1" outlineLevel="2">
      <c r="A71" s="101"/>
      <c r="B71" s="102" t="s">
        <v>87</v>
      </c>
      <c r="C71" s="103"/>
      <c r="D71" s="101" t="s">
        <v>245</v>
      </c>
      <c r="E71" s="67">
        <v>125000</v>
      </c>
      <c r="F71" s="104"/>
      <c r="G71" s="105"/>
    </row>
    <row r="72" spans="1:7" s="106" customFormat="1" ht="16.5" customHeight="1" outlineLevel="2">
      <c r="A72" s="101"/>
      <c r="B72" s="102" t="s">
        <v>124</v>
      </c>
      <c r="C72" s="103"/>
      <c r="D72" s="101" t="s">
        <v>257</v>
      </c>
      <c r="E72" s="67">
        <v>130900</v>
      </c>
      <c r="F72" s="104"/>
      <c r="G72" s="105"/>
    </row>
    <row r="73" spans="1:7" s="106" customFormat="1" ht="16.5" customHeight="1" outlineLevel="2">
      <c r="A73" s="101"/>
      <c r="B73" s="102" t="s">
        <v>195</v>
      </c>
      <c r="C73" s="103"/>
      <c r="D73" s="101" t="s">
        <v>196</v>
      </c>
      <c r="E73" s="67">
        <v>49602</v>
      </c>
      <c r="F73" s="104"/>
      <c r="G73" s="105"/>
    </row>
    <row r="74" spans="1:7" s="106" customFormat="1" ht="16.5" customHeight="1" outlineLevel="2">
      <c r="A74" s="101"/>
      <c r="B74" s="102" t="s">
        <v>210</v>
      </c>
      <c r="C74" s="103"/>
      <c r="D74" s="101" t="s">
        <v>221</v>
      </c>
      <c r="E74" s="67">
        <f>45000+25000</f>
        <v>70000</v>
      </c>
      <c r="F74" s="104"/>
      <c r="G74" s="105"/>
    </row>
    <row r="75" spans="1:7" s="106" customFormat="1" ht="16.5" customHeight="1" outlineLevel="2">
      <c r="A75" s="101"/>
      <c r="B75" s="102" t="s">
        <v>234</v>
      </c>
      <c r="C75" s="103"/>
      <c r="D75" s="101" t="s">
        <v>235</v>
      </c>
      <c r="E75" s="67">
        <v>26000</v>
      </c>
      <c r="F75" s="104"/>
      <c r="G75" s="105"/>
    </row>
    <row r="76" spans="1:7" s="106" customFormat="1" ht="16.5" customHeight="1" outlineLevel="2">
      <c r="A76" s="101"/>
      <c r="B76" s="102" t="s">
        <v>238</v>
      </c>
      <c r="C76" s="103"/>
      <c r="D76" s="101" t="s">
        <v>239</v>
      </c>
      <c r="E76" s="67">
        <v>10000</v>
      </c>
      <c r="F76" s="104"/>
      <c r="G76" s="105"/>
    </row>
    <row r="77" spans="1:7" s="106" customFormat="1" ht="16.5" customHeight="1" outlineLevel="2">
      <c r="A77" s="101"/>
      <c r="B77" s="102" t="s">
        <v>132</v>
      </c>
      <c r="C77" s="103"/>
      <c r="D77" s="101" t="s">
        <v>133</v>
      </c>
      <c r="E77" s="67">
        <f>53000+14000+6400+10000</f>
        <v>83400</v>
      </c>
      <c r="F77" s="104"/>
      <c r="G77" s="105"/>
    </row>
    <row r="78" spans="1:7" s="106" customFormat="1" ht="16.5" customHeight="1" outlineLevel="2">
      <c r="A78" s="101"/>
      <c r="B78" s="102" t="s">
        <v>261</v>
      </c>
      <c r="C78" s="103"/>
      <c r="D78" s="101" t="s">
        <v>262</v>
      </c>
      <c r="E78" s="67">
        <v>23333</v>
      </c>
      <c r="F78"/>
      <c r="G78" s="105"/>
    </row>
    <row r="79" spans="1:7" s="106" customFormat="1" ht="16.5" customHeight="1" outlineLevel="2">
      <c r="A79" s="101"/>
      <c r="B79" s="102" t="s">
        <v>88</v>
      </c>
      <c r="C79" s="103"/>
      <c r="D79" s="101" t="s">
        <v>263</v>
      </c>
      <c r="E79" s="67">
        <v>33200</v>
      </c>
      <c r="F79"/>
      <c r="G79" s="105"/>
    </row>
    <row r="80" spans="1:7" s="106" customFormat="1" ht="16.5" customHeight="1" outlineLevel="2">
      <c r="A80" s="101"/>
      <c r="B80" s="102" t="s">
        <v>86</v>
      </c>
      <c r="C80" s="103"/>
      <c r="D80" s="101" t="s">
        <v>216</v>
      </c>
      <c r="E80" s="67">
        <f>30282+16730+20875</f>
        <v>67887</v>
      </c>
      <c r="F80"/>
      <c r="G80" s="105"/>
    </row>
    <row r="81" spans="1:7" s="106" customFormat="1" ht="16.5" customHeight="1" outlineLevel="2">
      <c r="A81" s="101"/>
      <c r="B81" s="102" t="s">
        <v>246</v>
      </c>
      <c r="C81" s="103"/>
      <c r="D81" s="101" t="s">
        <v>247</v>
      </c>
      <c r="E81" s="67">
        <v>533477</v>
      </c>
      <c r="F81"/>
      <c r="G81" s="105"/>
    </row>
    <row r="82" spans="1:7" s="106" customFormat="1" ht="16.5" customHeight="1" outlineLevel="2">
      <c r="A82" s="101"/>
      <c r="B82" s="102" t="s">
        <v>67</v>
      </c>
      <c r="C82" s="103"/>
      <c r="D82" s="101" t="s">
        <v>175</v>
      </c>
      <c r="E82" s="67">
        <f>5000+7000+8000+5000</f>
        <v>25000</v>
      </c>
      <c r="F82"/>
      <c r="G82" s="105"/>
    </row>
    <row r="83" spans="1:7" s="106" customFormat="1" ht="16.5" customHeight="1" outlineLevel="2">
      <c r="A83" s="101"/>
      <c r="B83" s="102" t="s">
        <v>67</v>
      </c>
      <c r="C83" s="103"/>
      <c r="D83" s="101" t="s">
        <v>194</v>
      </c>
      <c r="E83" s="67">
        <v>2000</v>
      </c>
      <c r="F83"/>
      <c r="G83" s="105"/>
    </row>
    <row r="84" spans="1:7" s="106" customFormat="1" ht="16.5" customHeight="1" outlineLevel="2">
      <c r="A84" s="101"/>
      <c r="B84" s="102" t="s">
        <v>67</v>
      </c>
      <c r="C84" s="103"/>
      <c r="D84" s="101" t="s">
        <v>193</v>
      </c>
      <c r="E84" s="67">
        <v>108000</v>
      </c>
      <c r="F84"/>
      <c r="G84" s="105"/>
    </row>
    <row r="85" spans="1:7" s="106" customFormat="1" ht="16.5" customHeight="1" outlineLevel="2">
      <c r="A85" s="101"/>
      <c r="B85" s="102" t="s">
        <v>67</v>
      </c>
      <c r="C85" s="103"/>
      <c r="D85" s="101" t="s">
        <v>150</v>
      </c>
      <c r="E85" s="67">
        <f>19000+6000+9000+5000+10000+6000+5000</f>
        <v>60000</v>
      </c>
      <c r="F85"/>
      <c r="G85" s="105"/>
    </row>
    <row r="86" spans="1:7" s="106" customFormat="1" ht="16.5" customHeight="1" outlineLevel="2" thickBot="1">
      <c r="A86" s="101"/>
      <c r="B86" s="111" t="s">
        <v>109</v>
      </c>
      <c r="C86" s="112"/>
      <c r="D86" s="113" t="s">
        <v>110</v>
      </c>
      <c r="E86" s="110">
        <v>3331</v>
      </c>
      <c r="F86" s="114"/>
      <c r="G86" s="115"/>
    </row>
    <row r="87" spans="1:7" s="106" customFormat="1" ht="16.5" customHeight="1" outlineLevel="2">
      <c r="A87" s="101"/>
      <c r="B87" s="102" t="s">
        <v>144</v>
      </c>
      <c r="C87" s="103"/>
      <c r="D87" s="101" t="s">
        <v>145</v>
      </c>
      <c r="E87" s="67">
        <v>164200</v>
      </c>
      <c r="F87"/>
      <c r="G87" s="105"/>
    </row>
    <row r="88" spans="1:7" s="106" customFormat="1" ht="16.5" customHeight="1" outlineLevel="2">
      <c r="A88" s="101"/>
      <c r="B88" s="102" t="s">
        <v>84</v>
      </c>
      <c r="C88" s="103"/>
      <c r="D88" s="101" t="s">
        <v>128</v>
      </c>
      <c r="E88" s="67">
        <v>300000</v>
      </c>
      <c r="F88"/>
      <c r="G88" s="105"/>
    </row>
    <row r="89" spans="1:7" s="106" customFormat="1" ht="16.5" customHeight="1" outlineLevel="2">
      <c r="A89" s="101"/>
      <c r="B89" s="102" t="s">
        <v>117</v>
      </c>
      <c r="C89" s="103"/>
      <c r="D89" s="101" t="s">
        <v>118</v>
      </c>
      <c r="E89" s="67">
        <v>68212</v>
      </c>
      <c r="F89"/>
      <c r="G89" s="105"/>
    </row>
    <row r="90" spans="1:7" ht="15" customHeight="1" outlineLevel="2">
      <c r="A90" s="5"/>
      <c r="B90" s="107" t="s">
        <v>85</v>
      </c>
      <c r="C90" s="5"/>
      <c r="D90" s="108" t="s">
        <v>249</v>
      </c>
      <c r="E90" s="67">
        <v>25000</v>
      </c>
      <c r="F90" s="104"/>
      <c r="G90" s="105"/>
    </row>
    <row r="91" spans="1:7" ht="15" customHeight="1" outlineLevel="2">
      <c r="A91" s="5"/>
      <c r="B91" s="62" t="s">
        <v>77</v>
      </c>
      <c r="C91" s="5"/>
      <c r="D91" s="101" t="s">
        <v>252</v>
      </c>
      <c r="E91" s="67">
        <v>120000</v>
      </c>
      <c r="F91" s="104"/>
      <c r="G91" s="105"/>
    </row>
    <row r="92" spans="1:7" ht="15" customHeight="1" outlineLevel="2">
      <c r="A92" s="5"/>
      <c r="B92" s="62" t="s">
        <v>119</v>
      </c>
      <c r="C92" s="5"/>
      <c r="D92" s="101" t="s">
        <v>120</v>
      </c>
      <c r="E92" s="67">
        <v>19988</v>
      </c>
      <c r="F92" s="104"/>
      <c r="G92" s="105"/>
    </row>
    <row r="93" spans="1:7" ht="15" customHeight="1" outlineLevel="2">
      <c r="A93" s="5"/>
      <c r="B93" s="62" t="s">
        <v>74</v>
      </c>
      <c r="C93" s="78"/>
      <c r="D93" s="5" t="s">
        <v>91</v>
      </c>
      <c r="E93" s="67">
        <v>622591</v>
      </c>
      <c r="F93" s="6"/>
      <c r="G93" s="105"/>
    </row>
    <row r="94" spans="1:7" ht="15" customHeight="1" outlineLevel="2">
      <c r="A94" s="5"/>
      <c r="B94" s="62" t="s">
        <v>53</v>
      </c>
      <c r="C94" s="78"/>
      <c r="D94" s="5" t="s">
        <v>94</v>
      </c>
      <c r="E94" s="75">
        <f>7200+16000</f>
        <v>23200</v>
      </c>
      <c r="F94" s="6"/>
      <c r="G94" s="66">
        <f>SUM(E71:E94)</f>
        <v>2694321</v>
      </c>
    </row>
    <row r="95" spans="1:7" ht="15" customHeight="1" outlineLevel="2">
      <c r="A95" s="5"/>
      <c r="B95" s="62"/>
      <c r="C95" s="78"/>
      <c r="D95" s="5"/>
      <c r="E95" s="75"/>
      <c r="F95" s="6"/>
      <c r="G95" s="105"/>
    </row>
    <row r="96" spans="1:7" ht="15" customHeight="1" outlineLevel="2">
      <c r="A96" s="5"/>
      <c r="B96" s="83" t="s">
        <v>17</v>
      </c>
      <c r="C96" s="78"/>
      <c r="D96" s="5"/>
      <c r="E96" s="67"/>
      <c r="F96" s="6"/>
      <c r="G96" s="66"/>
    </row>
    <row r="97" spans="1:7" ht="15" customHeight="1" outlineLevel="2">
      <c r="A97" s="5"/>
      <c r="B97" s="62" t="s">
        <v>21</v>
      </c>
      <c r="C97" s="78"/>
      <c r="D97" s="5" t="s">
        <v>198</v>
      </c>
      <c r="E97" s="67">
        <v>1503311</v>
      </c>
      <c r="F97" s="6"/>
      <c r="G97" s="66"/>
    </row>
    <row r="98" spans="1:7" ht="15" customHeight="1" outlineLevel="2">
      <c r="A98" s="5"/>
      <c r="B98" s="62" t="s">
        <v>201</v>
      </c>
      <c r="C98" s="78"/>
      <c r="D98" s="5" t="s">
        <v>202</v>
      </c>
      <c r="E98" s="75">
        <f>509143+505442</f>
        <v>1014585</v>
      </c>
      <c r="F98" s="6"/>
      <c r="G98" s="66">
        <f>SUM(E97:E98)</f>
        <v>2517896</v>
      </c>
    </row>
    <row r="99" spans="1:7" ht="15" customHeight="1" outlineLevel="2">
      <c r="A99" s="5"/>
      <c r="B99" s="62"/>
      <c r="C99" s="78"/>
      <c r="D99" s="5"/>
      <c r="E99" s="75"/>
      <c r="F99" s="6"/>
      <c r="G99" s="66"/>
    </row>
    <row r="100" spans="1:7" ht="15" customHeight="1" outlineLevel="2">
      <c r="A100" s="5"/>
      <c r="B100" s="83" t="s">
        <v>90</v>
      </c>
      <c r="C100" s="78"/>
      <c r="D100" s="5"/>
      <c r="E100" s="75"/>
      <c r="F100" s="6"/>
      <c r="G100" s="66"/>
    </row>
    <row r="101" spans="1:7" ht="15" customHeight="1" outlineLevel="2">
      <c r="A101" s="5"/>
      <c r="B101" s="62" t="s">
        <v>55</v>
      </c>
      <c r="C101" s="78"/>
      <c r="D101" s="5" t="s">
        <v>184</v>
      </c>
      <c r="E101" s="67">
        <v>200000</v>
      </c>
      <c r="F101" s="6"/>
      <c r="G101" s="66"/>
    </row>
    <row r="102" spans="1:7" ht="15" customHeight="1" outlineLevel="2">
      <c r="A102" s="5"/>
      <c r="B102" s="62" t="s">
        <v>55</v>
      </c>
      <c r="C102" s="78"/>
      <c r="D102" s="5" t="s">
        <v>185</v>
      </c>
      <c r="E102" s="67">
        <v>100000</v>
      </c>
      <c r="F102" s="6"/>
      <c r="G102" s="66"/>
    </row>
    <row r="103" spans="1:7" ht="15" customHeight="1" outlineLevel="2">
      <c r="A103" s="5"/>
      <c r="B103" s="62" t="s">
        <v>55</v>
      </c>
      <c r="C103" s="78"/>
      <c r="D103" s="5" t="s">
        <v>189</v>
      </c>
      <c r="E103" s="67">
        <v>70000</v>
      </c>
      <c r="F103" s="6"/>
      <c r="G103" s="66"/>
    </row>
    <row r="104" spans="1:7" ht="15" customHeight="1" outlineLevel="2">
      <c r="A104" s="5"/>
      <c r="B104" s="62" t="s">
        <v>55</v>
      </c>
      <c r="C104" s="78"/>
      <c r="D104" s="5" t="s">
        <v>190</v>
      </c>
      <c r="E104" s="67">
        <v>150000</v>
      </c>
      <c r="F104" s="6"/>
      <c r="G104" s="66"/>
    </row>
    <row r="105" spans="1:7" ht="15" customHeight="1" outlineLevel="2">
      <c r="A105" s="5"/>
      <c r="B105" s="62" t="s">
        <v>55</v>
      </c>
      <c r="C105" s="78"/>
      <c r="D105" s="5" t="s">
        <v>179</v>
      </c>
      <c r="E105" s="67">
        <v>120000</v>
      </c>
      <c r="F105" s="6"/>
      <c r="G105" s="66"/>
    </row>
    <row r="106" spans="1:7" ht="15" customHeight="1" outlineLevel="2">
      <c r="A106" s="5"/>
      <c r="B106" s="62" t="s">
        <v>55</v>
      </c>
      <c r="C106" s="78"/>
      <c r="D106" s="5" t="s">
        <v>218</v>
      </c>
      <c r="E106" s="67">
        <v>450000</v>
      </c>
      <c r="F106" s="6"/>
      <c r="G106" s="66"/>
    </row>
    <row r="107" spans="1:7" ht="15" customHeight="1" outlineLevel="2">
      <c r="A107" s="5"/>
      <c r="B107" s="62" t="s">
        <v>55</v>
      </c>
      <c r="C107" s="78"/>
      <c r="D107" s="5" t="s">
        <v>171</v>
      </c>
      <c r="E107" s="67">
        <v>300000</v>
      </c>
      <c r="F107" s="6"/>
      <c r="G107" s="66"/>
    </row>
    <row r="108" spans="1:7" ht="15" customHeight="1" outlineLevel="2">
      <c r="A108" s="5"/>
      <c r="B108" s="62" t="s">
        <v>88</v>
      </c>
      <c r="C108" s="78"/>
      <c r="D108" s="5" t="s">
        <v>209</v>
      </c>
      <c r="E108" s="75">
        <v>200000</v>
      </c>
      <c r="F108" s="6"/>
      <c r="G108" s="66">
        <f>SUM(E101:E108)</f>
        <v>1590000</v>
      </c>
    </row>
    <row r="109" spans="1:7" ht="15" customHeight="1" outlineLevel="2">
      <c r="A109" s="5"/>
      <c r="B109" s="62"/>
      <c r="C109" s="78"/>
      <c r="D109" s="5"/>
      <c r="E109" s="67"/>
      <c r="F109" s="6"/>
      <c r="G109" s="66"/>
    </row>
    <row r="110" spans="1:7" ht="15" customHeight="1" outlineLevel="2">
      <c r="A110" s="5"/>
      <c r="B110" s="83" t="s">
        <v>52</v>
      </c>
      <c r="C110" s="78"/>
      <c r="D110" s="75"/>
      <c r="E110" s="75"/>
      <c r="F110" s="66"/>
      <c r="G110" s="66"/>
    </row>
    <row r="111" spans="1:7" ht="15" customHeight="1" outlineLevel="2">
      <c r="A111" s="5"/>
      <c r="B111" s="62" t="s">
        <v>60</v>
      </c>
      <c r="C111" s="78"/>
      <c r="D111" s="5" t="s">
        <v>172</v>
      </c>
      <c r="E111" s="67">
        <v>1000000</v>
      </c>
      <c r="F111" s="6"/>
      <c r="G111" s="66"/>
    </row>
    <row r="112" spans="1:7" ht="15" customHeight="1" outlineLevel="2">
      <c r="A112" s="5"/>
      <c r="B112" s="62" t="s">
        <v>89</v>
      </c>
      <c r="C112" s="78"/>
      <c r="D112" s="5" t="s">
        <v>251</v>
      </c>
      <c r="E112" s="67">
        <v>777955</v>
      </c>
      <c r="F112" s="6"/>
      <c r="G112" s="66"/>
    </row>
    <row r="113" spans="1:7" ht="15" customHeight="1" outlineLevel="2">
      <c r="A113" s="5"/>
      <c r="B113" s="62" t="s">
        <v>149</v>
      </c>
      <c r="C113" s="78"/>
      <c r="D113" s="5" t="s">
        <v>208</v>
      </c>
      <c r="E113" s="67">
        <v>1000000</v>
      </c>
      <c r="F113" s="6"/>
      <c r="G113" s="66"/>
    </row>
    <row r="114" spans="1:7" ht="15" customHeight="1" outlineLevel="2">
      <c r="A114" s="5"/>
      <c r="B114" s="62" t="s">
        <v>156</v>
      </c>
      <c r="C114" s="78"/>
      <c r="D114" s="5" t="s">
        <v>260</v>
      </c>
      <c r="E114" s="67">
        <f>250000+250000+450000+450000</f>
        <v>1400000</v>
      </c>
      <c r="F114" s="6"/>
      <c r="G114" s="66"/>
    </row>
    <row r="115" spans="1:7" ht="15" customHeight="1" outlineLevel="2">
      <c r="A115" s="5"/>
      <c r="B115" s="62" t="s">
        <v>122</v>
      </c>
      <c r="C115" s="78"/>
      <c r="D115" s="5" t="s">
        <v>123</v>
      </c>
      <c r="E115" s="67">
        <f>500+1000000</f>
        <v>1000500</v>
      </c>
      <c r="F115" s="6"/>
      <c r="G115" s="66"/>
    </row>
    <row r="116" spans="1:7" ht="15" customHeight="1" outlineLevel="2">
      <c r="A116" s="5"/>
      <c r="B116" s="62" t="s">
        <v>111</v>
      </c>
      <c r="C116" s="78"/>
      <c r="D116" s="5" t="s">
        <v>173</v>
      </c>
      <c r="E116" s="75">
        <v>1149425</v>
      </c>
      <c r="F116" s="6"/>
      <c r="G116" s="66">
        <f>SUM(E111:E116)</f>
        <v>6327880</v>
      </c>
    </row>
    <row r="117" spans="1:7" ht="15" customHeight="1" outlineLevel="2">
      <c r="A117" s="5"/>
      <c r="B117" s="62"/>
      <c r="C117" s="78"/>
      <c r="D117" s="5"/>
      <c r="E117" s="75"/>
      <c r="F117" s="6"/>
      <c r="G117" s="66"/>
    </row>
    <row r="118" spans="1:7" ht="15" customHeight="1" outlineLevel="2">
      <c r="A118" s="5"/>
      <c r="B118" s="83" t="s">
        <v>18</v>
      </c>
      <c r="C118" s="78"/>
      <c r="D118" s="5"/>
      <c r="E118" s="67"/>
      <c r="F118" s="6"/>
      <c r="G118" s="66"/>
    </row>
    <row r="119" spans="1:7" ht="15" customHeight="1" outlineLevel="2">
      <c r="A119" s="5"/>
      <c r="B119" s="62" t="s">
        <v>127</v>
      </c>
      <c r="C119" s="78"/>
      <c r="D119" s="5" t="s">
        <v>264</v>
      </c>
      <c r="E119" s="67">
        <v>63402</v>
      </c>
      <c r="F119" s="6"/>
      <c r="G119" s="66"/>
    </row>
    <row r="120" spans="1:7" ht="15" customHeight="1" outlineLevel="2">
      <c r="A120" s="5"/>
      <c r="B120" s="62" t="s">
        <v>127</v>
      </c>
      <c r="C120" s="78"/>
      <c r="D120" s="5" t="s">
        <v>266</v>
      </c>
      <c r="E120" s="67">
        <f>2700+267140</f>
        <v>269840</v>
      </c>
      <c r="F120" s="6"/>
      <c r="G120" s="66"/>
    </row>
    <row r="121" spans="1:7" ht="15" customHeight="1" outlineLevel="2" thickBot="1">
      <c r="A121" s="5"/>
      <c r="B121" s="85" t="s">
        <v>127</v>
      </c>
      <c r="C121" s="100"/>
      <c r="D121" s="59" t="s">
        <v>214</v>
      </c>
      <c r="E121" s="110">
        <v>102180</v>
      </c>
      <c r="F121" s="98"/>
      <c r="G121" s="116"/>
    </row>
    <row r="122" spans="1:7" ht="15" customHeight="1" outlineLevel="2">
      <c r="A122" s="5"/>
      <c r="B122" s="62" t="s">
        <v>232</v>
      </c>
      <c r="C122" s="78"/>
      <c r="D122" s="5" t="s">
        <v>233</v>
      </c>
      <c r="E122" s="67">
        <v>248775</v>
      </c>
      <c r="F122" s="6"/>
      <c r="G122" s="66"/>
    </row>
    <row r="123" spans="1:7" ht="15" customHeight="1" outlineLevel="2">
      <c r="A123" s="5"/>
      <c r="B123" s="62" t="s">
        <v>143</v>
      </c>
      <c r="C123" s="78"/>
      <c r="D123" s="5" t="s">
        <v>169</v>
      </c>
      <c r="E123" s="67">
        <v>64000</v>
      </c>
      <c r="F123" s="6"/>
      <c r="G123" s="66"/>
    </row>
    <row r="124" spans="1:7" ht="15" customHeight="1" outlineLevel="2">
      <c r="A124" s="5"/>
      <c r="B124" s="62" t="s">
        <v>143</v>
      </c>
      <c r="C124" s="78"/>
      <c r="D124" s="5" t="s">
        <v>224</v>
      </c>
      <c r="E124" s="67">
        <v>120000</v>
      </c>
      <c r="F124" s="6"/>
      <c r="G124" s="66"/>
    </row>
    <row r="125" spans="1:7" ht="15" customHeight="1" outlineLevel="2">
      <c r="A125" s="5"/>
      <c r="B125" s="62" t="s">
        <v>143</v>
      </c>
      <c r="C125" s="78"/>
      <c r="D125" s="5" t="s">
        <v>259</v>
      </c>
      <c r="E125" s="67">
        <v>64000</v>
      </c>
      <c r="F125" s="6"/>
      <c r="G125" s="66"/>
    </row>
    <row r="126" spans="1:7" ht="15" customHeight="1" outlineLevel="2">
      <c r="A126" s="5"/>
      <c r="B126" s="62" t="s">
        <v>143</v>
      </c>
      <c r="C126" s="78"/>
      <c r="D126" s="5" t="s">
        <v>211</v>
      </c>
      <c r="E126" s="67">
        <v>17000</v>
      </c>
      <c r="F126" s="6"/>
      <c r="G126" s="66"/>
    </row>
    <row r="127" spans="1:7" ht="15" customHeight="1" outlineLevel="2">
      <c r="A127" s="5"/>
      <c r="B127" s="62" t="s">
        <v>212</v>
      </c>
      <c r="C127" s="78"/>
      <c r="D127" s="5" t="s">
        <v>213</v>
      </c>
      <c r="E127" s="67">
        <v>185404</v>
      </c>
      <c r="F127" s="6"/>
      <c r="G127" s="66"/>
    </row>
    <row r="128" spans="1:7" ht="15" customHeight="1" outlineLevel="2">
      <c r="A128" s="5"/>
      <c r="B128" s="62" t="s">
        <v>212</v>
      </c>
      <c r="C128" s="78"/>
      <c r="D128" s="5" t="s">
        <v>237</v>
      </c>
      <c r="E128" s="67">
        <v>174500</v>
      </c>
      <c r="F128" s="6"/>
      <c r="G128" s="66"/>
    </row>
    <row r="129" spans="1:7" ht="15" customHeight="1" outlineLevel="2">
      <c r="A129" s="5"/>
      <c r="B129" s="62" t="s">
        <v>105</v>
      </c>
      <c r="C129" s="78"/>
      <c r="D129" s="5" t="s">
        <v>177</v>
      </c>
      <c r="E129" s="67">
        <v>79510</v>
      </c>
      <c r="F129" s="6"/>
      <c r="G129" s="66"/>
    </row>
    <row r="130" spans="1:7" ht="15" customHeight="1" outlineLevel="2">
      <c r="A130" s="5"/>
      <c r="B130" s="62" t="s">
        <v>105</v>
      </c>
      <c r="C130" s="78"/>
      <c r="D130" s="5" t="s">
        <v>215</v>
      </c>
      <c r="E130" s="67">
        <v>77010</v>
      </c>
      <c r="F130" s="6"/>
      <c r="G130" s="66"/>
    </row>
    <row r="131" spans="1:7" ht="15" customHeight="1" outlineLevel="2">
      <c r="A131" s="5"/>
      <c r="B131" s="62" t="s">
        <v>105</v>
      </c>
      <c r="C131" s="78"/>
      <c r="D131" s="5" t="s">
        <v>248</v>
      </c>
      <c r="E131" s="67">
        <v>100600</v>
      </c>
      <c r="F131" s="6"/>
      <c r="G131" s="66"/>
    </row>
    <row r="132" spans="1:7" ht="15" customHeight="1" outlineLevel="2">
      <c r="A132" s="5"/>
      <c r="B132" s="62" t="s">
        <v>126</v>
      </c>
      <c r="C132" s="78"/>
      <c r="D132" s="5" t="s">
        <v>200</v>
      </c>
      <c r="E132" s="67">
        <v>60000</v>
      </c>
      <c r="F132" s="6"/>
      <c r="G132" s="66"/>
    </row>
    <row r="133" spans="1:7" ht="15" customHeight="1" outlineLevel="2">
      <c r="A133" s="5"/>
      <c r="B133" s="62" t="s">
        <v>126</v>
      </c>
      <c r="C133" s="78"/>
      <c r="D133" s="5" t="s">
        <v>217</v>
      </c>
      <c r="E133" s="67">
        <v>113243</v>
      </c>
      <c r="F133" s="6"/>
      <c r="G133" s="66"/>
    </row>
    <row r="134" spans="1:7" ht="15" customHeight="1" outlineLevel="2">
      <c r="A134" s="5"/>
      <c r="B134" s="62" t="s">
        <v>126</v>
      </c>
      <c r="C134" s="78"/>
      <c r="D134" s="5" t="s">
        <v>219</v>
      </c>
      <c r="E134" s="67">
        <v>113290</v>
      </c>
      <c r="F134" s="6"/>
      <c r="G134" s="66"/>
    </row>
    <row r="135" spans="1:7" ht="15" customHeight="1" outlineLevel="2">
      <c r="A135" s="5"/>
      <c r="B135" s="62" t="s">
        <v>126</v>
      </c>
      <c r="C135" s="78"/>
      <c r="D135" s="5" t="s">
        <v>220</v>
      </c>
      <c r="E135" s="67">
        <v>25603</v>
      </c>
      <c r="F135" s="6"/>
      <c r="G135" s="66"/>
    </row>
    <row r="136" spans="1:7" ht="15" customHeight="1" outlineLevel="2">
      <c r="A136" s="5"/>
      <c r="B136" s="62" t="s">
        <v>88</v>
      </c>
      <c r="C136" s="78"/>
      <c r="D136" s="5" t="s">
        <v>265</v>
      </c>
      <c r="E136" s="67">
        <v>87000</v>
      </c>
      <c r="F136" s="6"/>
      <c r="G136" s="66"/>
    </row>
    <row r="137" spans="1:7" ht="15" customHeight="1" outlineLevel="2">
      <c r="A137" s="5"/>
      <c r="B137" s="62" t="s">
        <v>182</v>
      </c>
      <c r="C137" s="78"/>
      <c r="D137" s="5" t="s">
        <v>199</v>
      </c>
      <c r="E137" s="67">
        <v>65620</v>
      </c>
      <c r="F137" s="6"/>
      <c r="G137" s="66"/>
    </row>
    <row r="138" spans="1:7" ht="15" customHeight="1" outlineLevel="2">
      <c r="A138" s="5"/>
      <c r="B138" s="62" t="s">
        <v>182</v>
      </c>
      <c r="C138" s="78"/>
      <c r="D138" s="5" t="s">
        <v>183</v>
      </c>
      <c r="E138" s="67">
        <v>182021</v>
      </c>
      <c r="F138" s="6"/>
      <c r="G138" s="66"/>
    </row>
    <row r="139" spans="1:7" ht="15" customHeight="1" outlineLevel="2">
      <c r="A139" s="5"/>
      <c r="B139" s="63" t="s">
        <v>19</v>
      </c>
      <c r="C139" s="78"/>
      <c r="D139" s="5"/>
      <c r="E139" s="67"/>
      <c r="F139" s="6"/>
      <c r="G139" s="66"/>
    </row>
    <row r="140" spans="1:7" s="106" customFormat="1" ht="16.5" customHeight="1" outlineLevel="2">
      <c r="A140" s="101"/>
      <c r="B140" s="102" t="s">
        <v>204</v>
      </c>
      <c r="C140" s="103"/>
      <c r="D140" s="101" t="s">
        <v>125</v>
      </c>
      <c r="E140" s="67">
        <v>126852</v>
      </c>
      <c r="F140" s="104"/>
      <c r="G140" s="105"/>
    </row>
    <row r="141" spans="1:7" s="106" customFormat="1" ht="16.5" customHeight="1" outlineLevel="2">
      <c r="A141" s="101"/>
      <c r="B141" s="102" t="s">
        <v>154</v>
      </c>
      <c r="C141" s="103"/>
      <c r="D141" s="101" t="s">
        <v>231</v>
      </c>
      <c r="E141" s="67">
        <v>80295</v>
      </c>
      <c r="F141" s="104"/>
      <c r="G141" s="105"/>
    </row>
    <row r="142" spans="1:7" s="106" customFormat="1" ht="16.5" customHeight="1" outlineLevel="2">
      <c r="A142" s="101"/>
      <c r="B142" s="102" t="s">
        <v>253</v>
      </c>
      <c r="C142" s="103"/>
      <c r="D142" s="101" t="s">
        <v>254</v>
      </c>
      <c r="E142" s="67">
        <v>61430</v>
      </c>
      <c r="F142" s="104"/>
      <c r="G142" s="105"/>
    </row>
    <row r="143" spans="1:7" s="106" customFormat="1" ht="16.5" customHeight="1" outlineLevel="2">
      <c r="A143" s="101"/>
      <c r="B143" s="102" t="s">
        <v>67</v>
      </c>
      <c r="C143" s="103"/>
      <c r="D143" s="101" t="s">
        <v>146</v>
      </c>
      <c r="E143" s="67">
        <v>15738</v>
      </c>
      <c r="F143" s="104"/>
      <c r="G143" s="105"/>
    </row>
    <row r="144" spans="1:7" s="106" customFormat="1" ht="16.5" customHeight="1" outlineLevel="2">
      <c r="A144" s="101"/>
      <c r="B144" s="102" t="s">
        <v>72</v>
      </c>
      <c r="C144" s="103"/>
      <c r="D144" s="101" t="s">
        <v>176</v>
      </c>
      <c r="E144" s="67">
        <v>1280000</v>
      </c>
      <c r="F144" s="104"/>
      <c r="G144" s="105"/>
    </row>
    <row r="145" spans="1:7" s="106" customFormat="1" ht="16.5" customHeight="1" outlineLevel="2">
      <c r="A145" s="101"/>
      <c r="B145" s="102" t="s">
        <v>72</v>
      </c>
      <c r="C145" s="103"/>
      <c r="D145" s="101" t="s">
        <v>178</v>
      </c>
      <c r="E145" s="67">
        <v>1392400</v>
      </c>
      <c r="F145" s="104"/>
      <c r="G145" s="105"/>
    </row>
    <row r="146" spans="1:7" s="106" customFormat="1" ht="16.5" customHeight="1" outlineLevel="2">
      <c r="A146" s="101"/>
      <c r="B146" s="102" t="s">
        <v>72</v>
      </c>
      <c r="C146" s="103"/>
      <c r="D146" s="5" t="s">
        <v>236</v>
      </c>
      <c r="E146" s="67">
        <v>600000</v>
      </c>
      <c r="F146" s="104"/>
      <c r="G146" s="105"/>
    </row>
    <row r="147" spans="1:7" s="106" customFormat="1" ht="16.5" customHeight="1" outlineLevel="2">
      <c r="A147" s="101"/>
      <c r="B147" s="102" t="s">
        <v>67</v>
      </c>
      <c r="C147" s="103"/>
      <c r="D147" s="5" t="s">
        <v>153</v>
      </c>
      <c r="E147" s="67">
        <v>104320</v>
      </c>
      <c r="F147" s="104"/>
      <c r="G147" s="105"/>
    </row>
    <row r="148" spans="1:7" s="106" customFormat="1" ht="16.5" customHeight="1" outlineLevel="2">
      <c r="A148" s="101"/>
      <c r="B148" s="102" t="s">
        <v>67</v>
      </c>
      <c r="C148" s="103"/>
      <c r="D148" s="5" t="s">
        <v>255</v>
      </c>
      <c r="E148" s="67">
        <v>53584</v>
      </c>
      <c r="F148" s="104"/>
      <c r="G148" s="105"/>
    </row>
    <row r="149" spans="1:7" s="106" customFormat="1" ht="16.5" customHeight="1" outlineLevel="2">
      <c r="A149" s="101"/>
      <c r="B149" s="102" t="s">
        <v>67</v>
      </c>
      <c r="C149" s="103"/>
      <c r="D149" s="5" t="s">
        <v>256</v>
      </c>
      <c r="E149" s="67">
        <v>194066</v>
      </c>
      <c r="F149" s="104"/>
      <c r="G149" s="105"/>
    </row>
    <row r="150" spans="1:7" s="106" customFormat="1" ht="16.5" customHeight="1" outlineLevel="2">
      <c r="A150" s="101"/>
      <c r="B150" s="102" t="s">
        <v>55</v>
      </c>
      <c r="C150" s="103"/>
      <c r="D150" s="5" t="s">
        <v>207</v>
      </c>
      <c r="E150" s="67">
        <v>11121</v>
      </c>
      <c r="F150" s="104"/>
      <c r="G150" s="105"/>
    </row>
    <row r="151" spans="1:7" s="106" customFormat="1" ht="16.5" customHeight="1" outlineLevel="2">
      <c r="A151" s="101"/>
      <c r="B151" s="102" t="s">
        <v>134</v>
      </c>
      <c r="C151" s="103"/>
      <c r="D151" s="101" t="s">
        <v>160</v>
      </c>
      <c r="E151" s="67">
        <v>113931</v>
      </c>
      <c r="F151"/>
      <c r="G151" s="105"/>
    </row>
    <row r="152" spans="1:7" s="106" customFormat="1" ht="16.5" customHeight="1" outlineLevel="2">
      <c r="A152" s="101"/>
      <c r="B152" s="102" t="s">
        <v>136</v>
      </c>
      <c r="C152" s="103"/>
      <c r="D152" s="101" t="s">
        <v>158</v>
      </c>
      <c r="E152" s="67">
        <v>76000</v>
      </c>
      <c r="F152"/>
      <c r="G152" s="105"/>
    </row>
    <row r="153" spans="1:7" s="106" customFormat="1" ht="16.5" customHeight="1" outlineLevel="2">
      <c r="A153" s="101"/>
      <c r="B153" s="102" t="s">
        <v>137</v>
      </c>
      <c r="C153" s="103"/>
      <c r="D153" s="101" t="s">
        <v>159</v>
      </c>
      <c r="E153" s="67">
        <v>118000</v>
      </c>
      <c r="F153"/>
      <c r="G153" s="105"/>
    </row>
    <row r="154" spans="1:7" s="106" customFormat="1" ht="16.5" customHeight="1" outlineLevel="2">
      <c r="A154" s="101"/>
      <c r="B154" s="102" t="s">
        <v>167</v>
      </c>
      <c r="C154" s="103"/>
      <c r="D154" s="101" t="s">
        <v>168</v>
      </c>
      <c r="E154" s="67">
        <v>155500</v>
      </c>
      <c r="F154"/>
      <c r="G154" s="105"/>
    </row>
    <row r="155" spans="1:7" s="106" customFormat="1" ht="16.5" customHeight="1" outlineLevel="2" thickBot="1">
      <c r="A155" s="101"/>
      <c r="B155" s="111" t="s">
        <v>138</v>
      </c>
      <c r="C155" s="112"/>
      <c r="D155" s="113" t="s">
        <v>163</v>
      </c>
      <c r="E155" s="110">
        <v>176690</v>
      </c>
      <c r="F155" s="114"/>
      <c r="G155" s="115"/>
    </row>
    <row r="156" spans="1:7" s="106" customFormat="1" ht="16.5" customHeight="1" outlineLevel="2">
      <c r="A156" s="101"/>
      <c r="B156" s="102" t="s">
        <v>139</v>
      </c>
      <c r="C156" s="103"/>
      <c r="D156" s="101" t="s">
        <v>160</v>
      </c>
      <c r="E156" s="67">
        <v>183000</v>
      </c>
      <c r="F156"/>
      <c r="G156" s="105"/>
    </row>
    <row r="157" spans="1:7" s="106" customFormat="1" ht="16.5" customHeight="1" outlineLevel="2">
      <c r="A157" s="101"/>
      <c r="B157" s="102" t="s">
        <v>164</v>
      </c>
      <c r="C157" s="103"/>
      <c r="D157" s="101" t="s">
        <v>165</v>
      </c>
      <c r="E157" s="67">
        <v>165000</v>
      </c>
      <c r="F157"/>
      <c r="G157" s="105"/>
    </row>
    <row r="158" spans="1:7" s="106" customFormat="1" ht="16.5" customHeight="1" outlineLevel="2">
      <c r="A158" s="101"/>
      <c r="B158" s="102" t="s">
        <v>135</v>
      </c>
      <c r="C158" s="103"/>
      <c r="D158" s="101" t="s">
        <v>170</v>
      </c>
      <c r="E158" s="67">
        <v>112000</v>
      </c>
      <c r="F158"/>
      <c r="G158" s="105"/>
    </row>
    <row r="159" spans="1:7" s="106" customFormat="1" ht="16.5" customHeight="1" outlineLevel="2">
      <c r="A159" s="101"/>
      <c r="B159" s="102" t="s">
        <v>140</v>
      </c>
      <c r="C159" s="103"/>
      <c r="D159" s="101" t="s">
        <v>162</v>
      </c>
      <c r="E159" s="67">
        <v>155500</v>
      </c>
      <c r="F159"/>
      <c r="G159" s="105"/>
    </row>
    <row r="160" spans="1:7" s="106" customFormat="1" ht="16.5" customHeight="1" outlineLevel="2">
      <c r="A160" s="101"/>
      <c r="B160" s="102" t="s">
        <v>191</v>
      </c>
      <c r="C160" s="103"/>
      <c r="D160" s="101" t="s">
        <v>192</v>
      </c>
      <c r="E160" s="67">
        <v>240000</v>
      </c>
      <c r="F160" s="104"/>
      <c r="G160" s="105"/>
    </row>
    <row r="161" spans="1:7" s="106" customFormat="1" ht="16.5" customHeight="1" outlineLevel="2">
      <c r="A161" s="101"/>
      <c r="B161" s="102" t="s">
        <v>205</v>
      </c>
      <c r="C161" s="103"/>
      <c r="D161" s="101" t="s">
        <v>206</v>
      </c>
      <c r="E161" s="75">
        <v>21750</v>
      </c>
      <c r="F161" s="104"/>
      <c r="G161" s="66">
        <f>SUM(E119:E161)</f>
        <v>7650175</v>
      </c>
    </row>
    <row r="162" spans="1:7" ht="15" customHeight="1" outlineLevel="2" thickBot="1">
      <c r="A162" s="5"/>
      <c r="B162" s="62"/>
      <c r="C162" s="100"/>
      <c r="D162" s="62"/>
      <c r="E162" s="75"/>
      <c r="F162" s="66"/>
      <c r="G162" s="66"/>
    </row>
    <row r="163" spans="1:7" ht="15.75" customHeight="1" outlineLevel="2">
      <c r="A163" s="5"/>
      <c r="B163" s="83" t="s">
        <v>6</v>
      </c>
      <c r="C163" s="78"/>
      <c r="D163" s="5"/>
      <c r="E163" s="75"/>
      <c r="F163" s="6"/>
      <c r="G163" s="66"/>
    </row>
    <row r="164" spans="2:7" s="5" customFormat="1" ht="15" customHeight="1" outlineLevel="2">
      <c r="B164" s="62" t="s">
        <v>141</v>
      </c>
      <c r="C164" s="78"/>
      <c r="D164" s="5" t="s">
        <v>142</v>
      </c>
      <c r="E164" s="67">
        <v>46698</v>
      </c>
      <c r="F164" s="8"/>
      <c r="G164" s="67"/>
    </row>
    <row r="165" spans="2:7" s="5" customFormat="1" ht="15" customHeight="1" outlineLevel="2">
      <c r="B165" s="62" t="s">
        <v>227</v>
      </c>
      <c r="C165" s="78"/>
      <c r="D165" s="5" t="s">
        <v>228</v>
      </c>
      <c r="E165" s="67">
        <f>29750+47600</f>
        <v>77350</v>
      </c>
      <c r="F165" s="8"/>
      <c r="G165" s="67"/>
    </row>
    <row r="166" spans="2:7" s="5" customFormat="1" ht="15.75" customHeight="1" outlineLevel="2">
      <c r="B166" s="62" t="s">
        <v>47</v>
      </c>
      <c r="C166" s="78"/>
      <c r="D166" s="5" t="s">
        <v>174</v>
      </c>
      <c r="E166" s="67">
        <v>11370</v>
      </c>
      <c r="F166" s="8"/>
      <c r="G166" s="67"/>
    </row>
    <row r="167" spans="2:7" s="5" customFormat="1" ht="15.75" customHeight="1" outlineLevel="2">
      <c r="B167" s="62" t="s">
        <v>225</v>
      </c>
      <c r="C167" s="78"/>
      <c r="D167" s="5" t="s">
        <v>226</v>
      </c>
      <c r="E167" s="67">
        <v>3718750</v>
      </c>
      <c r="F167" s="8"/>
      <c r="G167" s="67"/>
    </row>
    <row r="168" spans="2:7" s="5" customFormat="1" ht="15.75" customHeight="1" outlineLevel="2">
      <c r="B168" s="62" t="s">
        <v>151</v>
      </c>
      <c r="C168" s="78"/>
      <c r="D168" s="5" t="s">
        <v>152</v>
      </c>
      <c r="E168" s="67">
        <f>149850+172700</f>
        <v>322550</v>
      </c>
      <c r="F168" s="8"/>
      <c r="G168" s="67"/>
    </row>
    <row r="169" spans="2:7" s="5" customFormat="1" ht="15.75" customHeight="1" outlineLevel="2">
      <c r="B169" s="62" t="s">
        <v>55</v>
      </c>
      <c r="C169" s="78"/>
      <c r="D169" s="5" t="s">
        <v>186</v>
      </c>
      <c r="E169" s="67">
        <v>5450</v>
      </c>
      <c r="F169" s="8"/>
      <c r="G169" s="67"/>
    </row>
    <row r="170" spans="2:7" s="5" customFormat="1" ht="15.75" customHeight="1" outlineLevel="2">
      <c r="B170" s="62" t="s">
        <v>55</v>
      </c>
      <c r="C170" s="78"/>
      <c r="D170" s="5" t="s">
        <v>250</v>
      </c>
      <c r="E170" s="67">
        <f>3949+6779</f>
        <v>10728</v>
      </c>
      <c r="F170" s="8"/>
      <c r="G170" s="67"/>
    </row>
    <row r="171" spans="2:7" s="5" customFormat="1" ht="15.75" customHeight="1" outlineLevel="2">
      <c r="B171" s="62" t="s">
        <v>55</v>
      </c>
      <c r="C171" s="78"/>
      <c r="D171" s="5" t="s">
        <v>258</v>
      </c>
      <c r="E171" s="67">
        <v>224480</v>
      </c>
      <c r="F171" s="8"/>
      <c r="G171" s="67"/>
    </row>
    <row r="172" spans="2:7" s="5" customFormat="1" ht="15.75" customHeight="1" outlineLevel="2">
      <c r="B172" s="62" t="s">
        <v>55</v>
      </c>
      <c r="C172" s="78"/>
      <c r="D172" s="5" t="s">
        <v>166</v>
      </c>
      <c r="E172" s="67">
        <v>51955</v>
      </c>
      <c r="F172" s="8"/>
      <c r="G172" s="67"/>
    </row>
    <row r="173" spans="2:7" s="5" customFormat="1" ht="15" customHeight="1" outlineLevel="2">
      <c r="B173" s="62" t="s">
        <v>72</v>
      </c>
      <c r="C173" s="78"/>
      <c r="D173" s="5" t="s">
        <v>99</v>
      </c>
      <c r="E173" s="67">
        <v>198883</v>
      </c>
      <c r="F173" s="8"/>
      <c r="G173" s="67"/>
    </row>
    <row r="174" spans="1:7" s="106" customFormat="1" ht="16.5" customHeight="1" outlineLevel="2">
      <c r="A174" s="101"/>
      <c r="B174" s="102" t="s">
        <v>71</v>
      </c>
      <c r="C174" s="103"/>
      <c r="D174" s="101" t="s">
        <v>97</v>
      </c>
      <c r="E174" s="75">
        <v>211480</v>
      </c>
      <c r="F174" s="104"/>
      <c r="G174" s="66">
        <f>SUM(E164:E174)</f>
        <v>4879694</v>
      </c>
    </row>
    <row r="175" spans="1:7" ht="15" customHeight="1" outlineLevel="2" thickBot="1">
      <c r="A175" s="5"/>
      <c r="B175" s="62"/>
      <c r="C175" s="100"/>
      <c r="D175" s="62"/>
      <c r="E175" s="75"/>
      <c r="F175" s="66"/>
      <c r="G175" s="66"/>
    </row>
    <row r="176" spans="1:7" ht="15" customHeight="1" outlineLevel="2">
      <c r="A176" s="5"/>
      <c r="B176" s="83" t="s">
        <v>157</v>
      </c>
      <c r="C176" s="78"/>
      <c r="D176" s="5"/>
      <c r="E176" s="75"/>
      <c r="F176" s="6"/>
      <c r="G176" s="66"/>
    </row>
    <row r="177" spans="1:7" ht="15" customHeight="1" outlineLevel="2">
      <c r="A177" s="5"/>
      <c r="B177" s="62" t="s">
        <v>55</v>
      </c>
      <c r="C177" s="78"/>
      <c r="D177" s="5" t="s">
        <v>181</v>
      </c>
      <c r="E177" s="67">
        <v>50000</v>
      </c>
      <c r="F177" s="6"/>
      <c r="G177" s="66"/>
    </row>
    <row r="178" spans="1:7" ht="15" customHeight="1" outlineLevel="2">
      <c r="A178" s="5"/>
      <c r="B178" s="62" t="s">
        <v>55</v>
      </c>
      <c r="C178" s="78"/>
      <c r="D178" s="5" t="s">
        <v>180</v>
      </c>
      <c r="E178" s="75">
        <v>25000</v>
      </c>
      <c r="F178" s="6"/>
      <c r="G178" s="66">
        <f>SUM(E177:E178)</f>
        <v>75000</v>
      </c>
    </row>
    <row r="179" spans="1:7" ht="15" customHeight="1" outlineLevel="2">
      <c r="A179" s="5"/>
      <c r="B179" s="62"/>
      <c r="C179" s="78"/>
      <c r="D179" s="5"/>
      <c r="E179" s="75"/>
      <c r="F179" s="6"/>
      <c r="G179" s="66"/>
    </row>
    <row r="180" spans="1:7" ht="15" customHeight="1" outlineLevel="2">
      <c r="A180" s="5"/>
      <c r="B180" s="83" t="s">
        <v>129</v>
      </c>
      <c r="C180" s="78"/>
      <c r="D180" s="5"/>
      <c r="E180" s="75"/>
      <c r="F180" s="6"/>
      <c r="G180" s="66"/>
    </row>
    <row r="181" spans="1:7" ht="15" customHeight="1" outlineLevel="2">
      <c r="A181" s="5"/>
      <c r="B181" s="62" t="s">
        <v>147</v>
      </c>
      <c r="C181" s="78"/>
      <c r="D181" s="5" t="s">
        <v>148</v>
      </c>
      <c r="E181" s="67">
        <f>5000000+1538415</f>
        <v>6538415</v>
      </c>
      <c r="F181" s="6"/>
      <c r="G181" s="66"/>
    </row>
    <row r="182" spans="1:7" ht="15" customHeight="1" outlineLevel="2">
      <c r="A182" s="5"/>
      <c r="B182" s="62" t="s">
        <v>222</v>
      </c>
      <c r="C182" s="78"/>
      <c r="D182" s="5" t="s">
        <v>148</v>
      </c>
      <c r="E182" s="75">
        <v>3471825</v>
      </c>
      <c r="F182" s="6"/>
      <c r="G182" s="66">
        <f>SUM(E181:E182)</f>
        <v>10010240</v>
      </c>
    </row>
    <row r="183" spans="1:7" ht="15" customHeight="1" outlineLevel="2">
      <c r="A183" s="5"/>
      <c r="B183" s="62"/>
      <c r="C183" s="78"/>
      <c r="D183" s="5"/>
      <c r="E183" s="75"/>
      <c r="F183" s="6"/>
      <c r="G183" s="66"/>
    </row>
    <row r="184" spans="1:7" ht="15" customHeight="1" outlineLevel="2">
      <c r="A184" s="5"/>
      <c r="B184" s="83" t="s">
        <v>79</v>
      </c>
      <c r="C184" s="78"/>
      <c r="D184" s="5"/>
      <c r="E184" s="75"/>
      <c r="F184" s="6"/>
      <c r="G184" s="66"/>
    </row>
    <row r="185" spans="2:7" s="5" customFormat="1" ht="15" customHeight="1" outlineLevel="2">
      <c r="B185" s="62" t="s">
        <v>61</v>
      </c>
      <c r="C185" s="78"/>
      <c r="D185" s="5" t="s">
        <v>98</v>
      </c>
      <c r="E185" s="67">
        <v>2773</v>
      </c>
      <c r="F185" s="8"/>
      <c r="G185" s="67"/>
    </row>
    <row r="186" spans="2:7" s="5" customFormat="1" ht="15.75" customHeight="1" outlineLevel="2">
      <c r="B186" s="62" t="s">
        <v>121</v>
      </c>
      <c r="C186" s="78"/>
      <c r="D186" s="5" t="s">
        <v>118</v>
      </c>
      <c r="E186" s="67">
        <v>186866</v>
      </c>
      <c r="F186" s="8"/>
      <c r="G186" s="67"/>
    </row>
    <row r="187" spans="2:7" s="5" customFormat="1" ht="16.5" customHeight="1" outlineLevel="2">
      <c r="B187" s="62" t="s">
        <v>68</v>
      </c>
      <c r="C187" s="78"/>
      <c r="D187" s="5" t="s">
        <v>96</v>
      </c>
      <c r="E187" s="75">
        <f>830+15910</f>
        <v>16740</v>
      </c>
      <c r="F187" s="8"/>
      <c r="G187" s="66">
        <f>SUM(E185:E187)</f>
        <v>206379</v>
      </c>
    </row>
    <row r="188" spans="1:7" ht="15" customHeight="1" outlineLevel="2" thickBot="1">
      <c r="A188" s="5"/>
      <c r="B188" s="62"/>
      <c r="C188" s="100"/>
      <c r="D188" s="62"/>
      <c r="E188" s="75"/>
      <c r="F188" s="66"/>
      <c r="G188" s="66"/>
    </row>
    <row r="189" spans="1:7" ht="15" customHeight="1" outlineLevel="2" thickBot="1">
      <c r="A189" s="5"/>
      <c r="B189" s="85"/>
      <c r="C189" s="100"/>
      <c r="D189" s="59"/>
      <c r="E189" s="117"/>
      <c r="F189" s="98"/>
      <c r="G189" s="116"/>
    </row>
    <row r="190" spans="1:7" ht="15" customHeight="1" outlineLevel="2">
      <c r="A190" s="5"/>
      <c r="B190" s="83" t="s">
        <v>80</v>
      </c>
      <c r="C190" s="78"/>
      <c r="D190" s="5"/>
      <c r="E190" s="75"/>
      <c r="F190" s="6"/>
      <c r="G190" s="66"/>
    </row>
    <row r="191" spans="1:7" ht="15" customHeight="1" outlineLevel="2">
      <c r="A191" s="5"/>
      <c r="B191" s="62" t="s">
        <v>81</v>
      </c>
      <c r="C191" s="78"/>
      <c r="D191" s="5" t="s">
        <v>244</v>
      </c>
      <c r="E191" s="67">
        <v>773774</v>
      </c>
      <c r="F191" s="6"/>
      <c r="G191" s="66"/>
    </row>
    <row r="192" spans="1:7" ht="15" customHeight="1" outlineLevel="2">
      <c r="A192" s="5"/>
      <c r="B192" s="62" t="s">
        <v>82</v>
      </c>
      <c r="C192" s="78"/>
      <c r="D192" s="5" t="s">
        <v>244</v>
      </c>
      <c r="E192" s="67">
        <v>755674</v>
      </c>
      <c r="F192" s="6"/>
      <c r="G192" s="66"/>
    </row>
    <row r="193" spans="1:7" ht="15" customHeight="1" outlineLevel="2">
      <c r="A193" s="5"/>
      <c r="B193" s="62" t="s">
        <v>55</v>
      </c>
      <c r="C193" s="78"/>
      <c r="D193" s="5" t="s">
        <v>244</v>
      </c>
      <c r="E193" s="67">
        <v>864385</v>
      </c>
      <c r="F193" s="6"/>
      <c r="G193" s="66"/>
    </row>
    <row r="194" spans="1:7" ht="15" customHeight="1" outlineLevel="2">
      <c r="A194" s="5"/>
      <c r="B194" s="62" t="s">
        <v>108</v>
      </c>
      <c r="C194" s="78"/>
      <c r="D194" s="5" t="s">
        <v>244</v>
      </c>
      <c r="E194" s="67">
        <v>985255</v>
      </c>
      <c r="F194" s="6"/>
      <c r="G194" s="66"/>
    </row>
    <row r="195" spans="1:7" ht="15" customHeight="1" outlineLevel="2">
      <c r="A195" s="5"/>
      <c r="B195" s="62" t="s">
        <v>83</v>
      </c>
      <c r="C195" s="78"/>
      <c r="D195" s="5" t="s">
        <v>244</v>
      </c>
      <c r="E195" s="67">
        <v>382800</v>
      </c>
      <c r="F195" s="6"/>
      <c r="G195" s="66"/>
    </row>
    <row r="196" spans="1:7" ht="15" customHeight="1" outlineLevel="2">
      <c r="A196" s="5"/>
      <c r="B196" s="62" t="s">
        <v>58</v>
      </c>
      <c r="C196" s="78"/>
      <c r="D196" s="5" t="s">
        <v>244</v>
      </c>
      <c r="E196" s="67">
        <v>1105962</v>
      </c>
      <c r="F196" s="6"/>
      <c r="G196" s="66"/>
    </row>
    <row r="197" spans="1:7" ht="15" customHeight="1" outlineLevel="2">
      <c r="A197" s="5"/>
      <c r="B197" s="62" t="s">
        <v>104</v>
      </c>
      <c r="C197" s="78"/>
      <c r="D197" s="5" t="s">
        <v>244</v>
      </c>
      <c r="E197" s="67">
        <v>535001</v>
      </c>
      <c r="F197" s="6"/>
      <c r="G197" s="66"/>
    </row>
    <row r="198" spans="1:7" ht="15" customHeight="1" outlineLevel="2">
      <c r="A198" s="5"/>
      <c r="B198" s="62" t="s">
        <v>47</v>
      </c>
      <c r="C198" s="78"/>
      <c r="D198" s="5" t="s">
        <v>244</v>
      </c>
      <c r="E198" s="67">
        <v>949256</v>
      </c>
      <c r="F198" s="6"/>
      <c r="G198" s="66"/>
    </row>
    <row r="199" spans="1:7" ht="15" customHeight="1" outlineLevel="2">
      <c r="A199" s="5"/>
      <c r="B199" s="62" t="s">
        <v>67</v>
      </c>
      <c r="C199" s="78"/>
      <c r="D199" s="5" t="s">
        <v>244</v>
      </c>
      <c r="E199" s="67">
        <v>1239273</v>
      </c>
      <c r="F199" s="6"/>
      <c r="G199" s="66"/>
    </row>
    <row r="200" spans="1:7" ht="18" customHeight="1" outlineLevel="2">
      <c r="A200" s="5"/>
      <c r="B200" s="62" t="s">
        <v>86</v>
      </c>
      <c r="C200" s="78"/>
      <c r="D200" s="5" t="s">
        <v>244</v>
      </c>
      <c r="E200" s="75">
        <v>544857</v>
      </c>
      <c r="F200" s="6"/>
      <c r="G200" s="66">
        <f>SUM(E191:E200)</f>
        <v>8136237</v>
      </c>
    </row>
    <row r="201" spans="1:7" ht="15" customHeight="1" outlineLevel="2" thickBot="1">
      <c r="A201" s="5"/>
      <c r="B201" s="62"/>
      <c r="C201" s="100"/>
      <c r="D201" s="62"/>
      <c r="E201" s="75"/>
      <c r="F201" s="66"/>
      <c r="G201" s="66"/>
    </row>
    <row r="202" spans="1:7" ht="15" customHeight="1" outlineLevel="2">
      <c r="A202" s="5"/>
      <c r="B202" s="83" t="s">
        <v>11</v>
      </c>
      <c r="C202" s="78"/>
      <c r="D202" s="5"/>
      <c r="E202" s="67"/>
      <c r="F202" s="6"/>
      <c r="G202" s="66"/>
    </row>
    <row r="203" spans="1:7" ht="15" customHeight="1" outlineLevel="2">
      <c r="A203" s="5"/>
      <c r="B203" s="62" t="s">
        <v>12</v>
      </c>
      <c r="C203" s="78"/>
      <c r="D203" s="5" t="s">
        <v>244</v>
      </c>
      <c r="E203" s="67">
        <v>303370</v>
      </c>
      <c r="F203" s="6"/>
      <c r="G203" s="66"/>
    </row>
    <row r="204" spans="1:7" ht="15" customHeight="1" outlineLevel="2">
      <c r="A204" s="5"/>
      <c r="B204" s="62" t="s">
        <v>57</v>
      </c>
      <c r="C204" s="79"/>
      <c r="D204" s="5" t="s">
        <v>244</v>
      </c>
      <c r="E204" s="67">
        <v>87986</v>
      </c>
      <c r="F204" s="6"/>
      <c r="G204" s="66"/>
    </row>
    <row r="205" spans="1:7" ht="15" customHeight="1" outlineLevel="2">
      <c r="A205" s="5"/>
      <c r="B205" s="62" t="s">
        <v>73</v>
      </c>
      <c r="C205" s="79"/>
      <c r="D205" s="5" t="s">
        <v>244</v>
      </c>
      <c r="E205" s="67">
        <v>107547</v>
      </c>
      <c r="F205" s="6"/>
      <c r="G205" s="66"/>
    </row>
    <row r="206" spans="1:7" ht="15" customHeight="1" outlineLevel="2">
      <c r="A206" s="5"/>
      <c r="B206" s="62" t="s">
        <v>69</v>
      </c>
      <c r="C206" s="79"/>
      <c r="D206" s="5" t="s">
        <v>244</v>
      </c>
      <c r="E206" s="67">
        <v>249056</v>
      </c>
      <c r="F206" s="6"/>
      <c r="G206" s="66"/>
    </row>
    <row r="207" spans="1:7" ht="15" customHeight="1" outlineLevel="2">
      <c r="A207" s="5"/>
      <c r="B207" s="62" t="s">
        <v>62</v>
      </c>
      <c r="C207" s="78"/>
      <c r="D207" s="5" t="s">
        <v>244</v>
      </c>
      <c r="E207" s="67">
        <v>54191</v>
      </c>
      <c r="F207" s="6"/>
      <c r="G207" s="66"/>
    </row>
    <row r="208" spans="1:7" ht="15" customHeight="1" outlineLevel="2">
      <c r="A208" s="5"/>
      <c r="B208" s="62" t="s">
        <v>44</v>
      </c>
      <c r="C208" s="78"/>
      <c r="D208" s="5" t="s">
        <v>244</v>
      </c>
      <c r="E208" s="67">
        <v>735913</v>
      </c>
      <c r="F208" s="6"/>
      <c r="G208" s="66"/>
    </row>
    <row r="209" spans="1:7" ht="15" customHeight="1" outlineLevel="2">
      <c r="A209" s="5"/>
      <c r="B209" s="62" t="s">
        <v>63</v>
      </c>
      <c r="C209" s="78"/>
      <c r="D209" s="5" t="s">
        <v>244</v>
      </c>
      <c r="E209" s="67">
        <v>373852</v>
      </c>
      <c r="F209" s="6"/>
      <c r="G209" s="66"/>
    </row>
    <row r="210" spans="1:7" ht="15" customHeight="1" outlineLevel="2">
      <c r="A210" s="5"/>
      <c r="B210" s="62" t="s">
        <v>64</v>
      </c>
      <c r="C210" s="78"/>
      <c r="D210" s="5" t="s">
        <v>244</v>
      </c>
      <c r="E210" s="67">
        <v>202683</v>
      </c>
      <c r="F210" s="6"/>
      <c r="G210" s="66"/>
    </row>
    <row r="211" spans="1:7" ht="15" customHeight="1" outlineLevel="2">
      <c r="A211" s="5"/>
      <c r="B211" s="62" t="s">
        <v>24</v>
      </c>
      <c r="C211" s="78"/>
      <c r="D211" s="5" t="s">
        <v>244</v>
      </c>
      <c r="E211" s="67">
        <f>54316+49881+15759+79231+32591</f>
        <v>231778</v>
      </c>
      <c r="F211" s="6"/>
      <c r="G211" s="66"/>
    </row>
    <row r="212" spans="1:7" ht="15" customHeight="1" outlineLevel="2">
      <c r="A212" s="5"/>
      <c r="B212" s="62" t="s">
        <v>59</v>
      </c>
      <c r="C212" s="78"/>
      <c r="D212" s="5" t="s">
        <v>244</v>
      </c>
      <c r="E212" s="67">
        <v>141769</v>
      </c>
      <c r="F212" s="6"/>
      <c r="G212" s="66"/>
    </row>
    <row r="213" spans="1:7" ht="15" customHeight="1" outlineLevel="2">
      <c r="A213" s="5"/>
      <c r="B213" s="62" t="s">
        <v>56</v>
      </c>
      <c r="C213" s="78"/>
      <c r="D213" s="5" t="s">
        <v>244</v>
      </c>
      <c r="E213" s="67">
        <v>67077</v>
      </c>
      <c r="F213" s="6"/>
      <c r="G213" s="66"/>
    </row>
    <row r="214" spans="1:7" ht="15" customHeight="1" outlineLevel="2" thickBot="1">
      <c r="A214" s="5"/>
      <c r="B214" s="64" t="s">
        <v>20</v>
      </c>
      <c r="C214" s="80"/>
      <c r="D214" s="5" t="s">
        <v>244</v>
      </c>
      <c r="E214" s="76">
        <v>421985</v>
      </c>
      <c r="F214" s="65"/>
      <c r="G214" s="68">
        <f>SUM(E203:E214)</f>
        <v>2977207</v>
      </c>
    </row>
    <row r="215" spans="2:9" ht="12.75" outlineLevel="1" thickBot="1">
      <c r="B215" s="32" t="s">
        <v>13</v>
      </c>
      <c r="C215" s="61"/>
      <c r="D215" s="54"/>
      <c r="E215" s="53"/>
      <c r="F215" s="33">
        <f>SUM(F8:F214)</f>
        <v>37662069</v>
      </c>
      <c r="G215" s="33">
        <f>SUM(G8:G214)</f>
        <v>49538699</v>
      </c>
      <c r="H215" s="3"/>
      <c r="I215" s="3"/>
    </row>
    <row r="216" spans="2:9" ht="12.75" outlineLevel="1" thickBot="1">
      <c r="B216" s="35" t="s">
        <v>14</v>
      </c>
      <c r="C216" s="54"/>
      <c r="D216" s="52"/>
      <c r="E216" s="34"/>
      <c r="F216" s="34">
        <f>G6</f>
        <v>178641057</v>
      </c>
      <c r="G216" s="34">
        <v>0</v>
      </c>
      <c r="I216" s="3"/>
    </row>
    <row r="217" spans="2:7" ht="12.75" thickBot="1">
      <c r="B217" s="37" t="s">
        <v>15</v>
      </c>
      <c r="C217" s="54"/>
      <c r="D217" s="36"/>
      <c r="E217" s="34"/>
      <c r="F217" s="34">
        <f>SUM(F215:F216)</f>
        <v>216303126</v>
      </c>
      <c r="G217" s="34">
        <f>SUM(G215:G216)</f>
        <v>49538699</v>
      </c>
    </row>
    <row r="218" spans="2:7" ht="12" thickBot="1">
      <c r="B218" s="7"/>
      <c r="C218" s="57"/>
      <c r="D218" s="7"/>
      <c r="E218" s="6"/>
      <c r="F218" s="6"/>
      <c r="G218" s="6"/>
    </row>
    <row r="219" spans="1:7" s="9" customFormat="1" ht="15" customHeight="1" thickBot="1">
      <c r="A219" s="11"/>
      <c r="B219" s="38" t="s">
        <v>281</v>
      </c>
      <c r="C219" s="39"/>
      <c r="D219" s="39"/>
      <c r="E219" s="40">
        <f>F217-G217</f>
        <v>166764427</v>
      </c>
      <c r="F219" s="12" t="s">
        <v>7</v>
      </c>
      <c r="G219"/>
    </row>
    <row r="220" spans="2:7" s="5" customFormat="1" ht="35.25" customHeight="1">
      <c r="B220" s="7"/>
      <c r="D220" s="7"/>
      <c r="E220" s="6"/>
      <c r="F220" s="6"/>
      <c r="G220" s="6"/>
    </row>
    <row r="221" spans="2:7" s="5" customFormat="1" ht="12">
      <c r="B221" s="7"/>
      <c r="D221" s="7"/>
      <c r="E221" s="6"/>
      <c r="F221" s="12"/>
      <c r="G221" s="6"/>
    </row>
    <row r="222" spans="2:7" s="5" customFormat="1" ht="18.75">
      <c r="B222" s="5" t="s">
        <v>282</v>
      </c>
      <c r="D222" s="7"/>
      <c r="E222" s="6"/>
      <c r="F222" s="109" t="s">
        <v>70</v>
      </c>
      <c r="G222" s="6"/>
    </row>
  </sheetData>
  <sheetProtection/>
  <autoFilter ref="E4:E222"/>
  <printOptions horizontalCentered="1"/>
  <pageMargins left="0.3937007874015748" right="0.3937007874015748" top="0.41" bottom="0.47" header="0" footer="0"/>
  <pageSetup horizontalDpi="360" verticalDpi="360" orientation="landscape" r:id="rId4"/>
  <rowBreaks count="1" manualBreakCount="1">
    <brk id="5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E27"/>
  <sheetViews>
    <sheetView zoomScalePageLayoutView="0" workbookViewId="0" topLeftCell="A1">
      <selection activeCell="L21" sqref="L21"/>
    </sheetView>
  </sheetViews>
  <sheetFormatPr defaultColWidth="11.421875" defaultRowHeight="12.75"/>
  <cols>
    <col min="1" max="1" width="4.00390625" style="13" customWidth="1"/>
    <col min="2" max="2" width="36.421875" style="13" customWidth="1"/>
    <col min="3" max="4" width="11.421875" style="13" customWidth="1"/>
    <col min="5" max="5" width="0" style="13" hidden="1" customWidth="1"/>
    <col min="6" max="16384" width="11.421875" style="13" customWidth="1"/>
  </cols>
  <sheetData>
    <row r="1" ht="12.75"/>
    <row r="2" ht="12.75"/>
    <row r="3" ht="12.75">
      <c r="B3" s="14"/>
    </row>
    <row r="4" ht="12.75">
      <c r="B4" s="14"/>
    </row>
    <row r="5" ht="13.5" thickBot="1">
      <c r="B5" s="14"/>
    </row>
    <row r="6" spans="2:5" s="15" customFormat="1" ht="28.5" customHeight="1" thickBot="1">
      <c r="B6" s="48" t="s">
        <v>48</v>
      </c>
      <c r="C6" s="48" t="s">
        <v>31</v>
      </c>
      <c r="D6" s="48"/>
      <c r="E6" s="45" t="s">
        <v>45</v>
      </c>
    </row>
    <row r="7" spans="2:5" s="5" customFormat="1" ht="15" customHeight="1">
      <c r="B7" s="22" t="s">
        <v>32</v>
      </c>
      <c r="C7" s="30">
        <v>68</v>
      </c>
      <c r="D7" s="67">
        <v>442000</v>
      </c>
      <c r="E7" s="41">
        <f>378400+4300+378400+4300</f>
        <v>765400</v>
      </c>
    </row>
    <row r="8" spans="2:5" s="5" customFormat="1" ht="15" customHeight="1">
      <c r="B8" s="22" t="s">
        <v>27</v>
      </c>
      <c r="C8" s="30">
        <v>95</v>
      </c>
      <c r="D8" s="67">
        <v>617500</v>
      </c>
      <c r="E8" s="41">
        <f>533200+8600</f>
        <v>541800</v>
      </c>
    </row>
    <row r="9" spans="2:5" s="5" customFormat="1" ht="15" customHeight="1">
      <c r="B9" s="22" t="s">
        <v>30</v>
      </c>
      <c r="C9" s="30">
        <f>1+207</f>
        <v>208</v>
      </c>
      <c r="D9" s="67">
        <f>6500+1345500</f>
        <v>1352000</v>
      </c>
      <c r="E9" s="41">
        <f>838500+8600+834200+8600</f>
        <v>1689900</v>
      </c>
    </row>
    <row r="10" spans="2:5" s="5" customFormat="1" ht="15" customHeight="1">
      <c r="B10" s="22" t="s">
        <v>33</v>
      </c>
      <c r="C10" s="30">
        <f>144+1</f>
        <v>145</v>
      </c>
      <c r="D10" s="66">
        <f>936000+6500</f>
        <v>942500</v>
      </c>
      <c r="E10" s="41">
        <v>0</v>
      </c>
    </row>
    <row r="11" spans="2:5" s="5" customFormat="1" ht="15" customHeight="1">
      <c r="B11" s="22" t="s">
        <v>25</v>
      </c>
      <c r="C11" s="30">
        <f>1+139+1+1</f>
        <v>142</v>
      </c>
      <c r="D11" s="67">
        <f>5000+903500+2300+2400</f>
        <v>913200</v>
      </c>
      <c r="E11" s="41">
        <f>8600+967500</f>
        <v>976100</v>
      </c>
    </row>
    <row r="12" spans="2:5" s="5" customFormat="1" ht="15" customHeight="1">
      <c r="B12" s="22" t="s">
        <v>34</v>
      </c>
      <c r="C12" s="30">
        <f>1+415</f>
        <v>416</v>
      </c>
      <c r="D12" s="67">
        <f>24000+2697500</f>
        <v>2721500</v>
      </c>
      <c r="E12" s="41">
        <f>17200+223100+8600+8600</f>
        <v>257500</v>
      </c>
    </row>
    <row r="13" spans="2:5" s="5" customFormat="1" ht="15" customHeight="1">
      <c r="B13" s="22" t="s">
        <v>35</v>
      </c>
      <c r="C13" s="30">
        <f>1+1+1+1+1+1+488+1+1</f>
        <v>496</v>
      </c>
      <c r="D13" s="67">
        <f>2400+2200+2200+2200+19200+20800+3172000+6500+5600</f>
        <v>3233100</v>
      </c>
      <c r="E13" s="41">
        <f>3457200+30100+3990</f>
        <v>3491290</v>
      </c>
    </row>
    <row r="14" spans="2:5" s="5" customFormat="1" ht="15" customHeight="1">
      <c r="B14" s="62" t="s">
        <v>107</v>
      </c>
      <c r="C14" s="30">
        <v>49</v>
      </c>
      <c r="D14" s="67">
        <v>318500</v>
      </c>
      <c r="E14" s="41"/>
    </row>
    <row r="15" spans="2:5" s="5" customFormat="1" ht="15" customHeight="1">
      <c r="B15" s="62" t="s">
        <v>106</v>
      </c>
      <c r="C15" s="30">
        <v>61</v>
      </c>
      <c r="D15" s="67">
        <v>396500</v>
      </c>
      <c r="E15" s="41"/>
    </row>
    <row r="16" spans="2:5" s="5" customFormat="1" ht="15" customHeight="1">
      <c r="B16" s="22" t="s">
        <v>36</v>
      </c>
      <c r="C16" s="30">
        <f>1+300+1</f>
        <v>302</v>
      </c>
      <c r="D16" s="67">
        <f>2200+1950000+2200</f>
        <v>1954400</v>
      </c>
      <c r="E16" s="41">
        <f>1797400+8600</f>
        <v>1806000</v>
      </c>
    </row>
    <row r="17" spans="2:5" s="5" customFormat="1" ht="15" customHeight="1">
      <c r="B17" s="22" t="s">
        <v>37</v>
      </c>
      <c r="C17" s="30">
        <f>1+133+1+1</f>
        <v>136</v>
      </c>
      <c r="D17" s="67">
        <f>7200+19200+864500+2200</f>
        <v>893100</v>
      </c>
      <c r="E17" s="41">
        <v>774000</v>
      </c>
    </row>
    <row r="18" spans="2:5" s="5" customFormat="1" ht="15" customHeight="1">
      <c r="B18" s="22" t="s">
        <v>38</v>
      </c>
      <c r="C18" s="30">
        <v>274</v>
      </c>
      <c r="D18" s="66">
        <v>1781000</v>
      </c>
      <c r="E18" s="41">
        <f>1427290</f>
        <v>1427290</v>
      </c>
    </row>
    <row r="19" spans="2:5" s="5" customFormat="1" ht="15" customHeight="1">
      <c r="B19" s="22" t="s">
        <v>23</v>
      </c>
      <c r="C19" s="30">
        <f>1+1+100</f>
        <v>102</v>
      </c>
      <c r="D19" s="67">
        <f>9600+2600+650000</f>
        <v>662200</v>
      </c>
      <c r="E19" s="41">
        <v>442900</v>
      </c>
    </row>
    <row r="20" spans="2:5" s="5" customFormat="1" ht="15" customHeight="1">
      <c r="B20" s="22" t="s">
        <v>39</v>
      </c>
      <c r="C20" s="30">
        <f>1+1+333+1</f>
        <v>336</v>
      </c>
      <c r="D20" s="67">
        <f>2400+2200+2164500+2600</f>
        <v>2171700</v>
      </c>
      <c r="E20" s="41">
        <f>1720+12900+2128500</f>
        <v>2143120</v>
      </c>
    </row>
    <row r="21" spans="2:5" s="5" customFormat="1" ht="15" customHeight="1">
      <c r="B21" s="22" t="s">
        <v>28</v>
      </c>
      <c r="C21" s="30">
        <f>1+1+239+1</f>
        <v>242</v>
      </c>
      <c r="D21" s="67">
        <v>1553500</v>
      </c>
      <c r="E21" s="41">
        <f>7740+1388900+12900+1596</f>
        <v>1411136</v>
      </c>
    </row>
    <row r="22" spans="2:5" s="5" customFormat="1" ht="15" customHeight="1">
      <c r="B22" s="22" t="s">
        <v>40</v>
      </c>
      <c r="C22" s="30">
        <f>1+202+1</f>
        <v>204</v>
      </c>
      <c r="D22" s="67">
        <f>2600+1313000+2600</f>
        <v>1318200</v>
      </c>
      <c r="E22" s="41">
        <f>12900+924500+4300</f>
        <v>941700</v>
      </c>
    </row>
    <row r="23" spans="2:5" s="5" customFormat="1" ht="15" customHeight="1">
      <c r="B23" s="22" t="s">
        <v>29</v>
      </c>
      <c r="C23" s="30">
        <f>192+1</f>
        <v>193</v>
      </c>
      <c r="D23" s="67">
        <f>1248000+6500</f>
        <v>1254500</v>
      </c>
      <c r="E23" s="41">
        <f>645000</f>
        <v>645000</v>
      </c>
    </row>
    <row r="24" spans="2:5" s="5" customFormat="1" ht="15" customHeight="1">
      <c r="B24" s="22" t="s">
        <v>41</v>
      </c>
      <c r="C24" s="30">
        <f>1+115</f>
        <v>116</v>
      </c>
      <c r="D24" s="67">
        <f>6500+747500</f>
        <v>754000</v>
      </c>
      <c r="E24" s="41">
        <f>4300+520300</f>
        <v>524600</v>
      </c>
    </row>
    <row r="25" spans="2:5" s="5" customFormat="1" ht="15" customHeight="1" thickBot="1">
      <c r="B25" s="22" t="s">
        <v>42</v>
      </c>
      <c r="C25" s="30">
        <v>104</v>
      </c>
      <c r="D25" s="75">
        <v>676000</v>
      </c>
      <c r="E25" s="42">
        <f>4300+464400</f>
        <v>468700</v>
      </c>
    </row>
    <row r="26" spans="2:5" s="5" customFormat="1" ht="15" customHeight="1" thickBot="1">
      <c r="B26" s="29"/>
      <c r="C26" s="29">
        <f>SUM(C7:C25)</f>
        <v>3689</v>
      </c>
      <c r="D26" s="49">
        <f>SUM(D7:D25)</f>
        <v>23955400</v>
      </c>
      <c r="E26" s="46"/>
    </row>
    <row r="27" spans="2:5" ht="15.75" customHeight="1" hidden="1" thickBot="1">
      <c r="B27" s="43" t="s">
        <v>46</v>
      </c>
      <c r="C27" s="44"/>
      <c r="D27" s="47"/>
      <c r="E27" s="17" t="e">
        <f>SUM(#REF!)</f>
        <v>#REF!</v>
      </c>
    </row>
  </sheetData>
  <sheetProtection/>
  <printOptions horizontalCentered="1"/>
  <pageMargins left="0.7874015748031497" right="0.7874015748031497" top="0.984251968503937" bottom="0.984251968503937" header="0" footer="0"/>
  <pageSetup horizontalDpi="360" verticalDpi="36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3" customWidth="1"/>
    <col min="2" max="2" width="14.28125" style="13" customWidth="1"/>
    <col min="3" max="3" width="43.140625" style="13" customWidth="1"/>
    <col min="4" max="5" width="11.421875" style="16" customWidth="1"/>
    <col min="6" max="16384" width="11.421875" style="13" customWidth="1"/>
  </cols>
  <sheetData>
    <row r="1" ht="26.25" customHeight="1"/>
    <row r="2" ht="26.25" customHeight="1"/>
    <row r="3" spans="2:3" ht="12.75">
      <c r="B3" s="14"/>
      <c r="C3" s="14"/>
    </row>
    <row r="4" spans="2:3" ht="14.25">
      <c r="B4" s="14"/>
      <c r="C4" s="51" t="s">
        <v>54</v>
      </c>
    </row>
    <row r="5" ht="13.5" thickBot="1"/>
    <row r="6" spans="2:5" s="15" customFormat="1" ht="28.5" customHeight="1" thickBot="1">
      <c r="B6" s="87" t="s">
        <v>49</v>
      </c>
      <c r="C6" s="92" t="s">
        <v>50</v>
      </c>
      <c r="D6" s="50" t="s">
        <v>51</v>
      </c>
      <c r="E6" s="97" t="s">
        <v>66</v>
      </c>
    </row>
    <row r="7" spans="2:5" s="5" customFormat="1" ht="15" customHeight="1" thickTop="1">
      <c r="B7" s="89"/>
      <c r="C7" s="94"/>
      <c r="D7"/>
      <c r="E7" s="94"/>
    </row>
    <row r="8" spans="2:5" s="5" customFormat="1" ht="15" customHeight="1">
      <c r="B8" s="90"/>
      <c r="C8" s="95"/>
      <c r="D8"/>
      <c r="E8" s="95"/>
    </row>
    <row r="9" spans="2:5" s="5" customFormat="1" ht="15" customHeight="1">
      <c r="B9" s="90"/>
      <c r="C9" s="95"/>
      <c r="D9"/>
      <c r="E9" s="95"/>
    </row>
    <row r="10" spans="2:5" s="5" customFormat="1" ht="15" customHeight="1">
      <c r="B10" s="90"/>
      <c r="C10" s="95"/>
      <c r="D10"/>
      <c r="E10" s="95"/>
    </row>
    <row r="11" spans="2:5" s="5" customFormat="1" ht="15" customHeight="1">
      <c r="B11" s="90"/>
      <c r="C11" s="95"/>
      <c r="D11"/>
      <c r="E11" s="95"/>
    </row>
    <row r="12" spans="2:5" s="5" customFormat="1" ht="15" customHeight="1">
      <c r="B12" s="90"/>
      <c r="C12" s="95"/>
      <c r="D12"/>
      <c r="E12" s="95"/>
    </row>
    <row r="13" spans="2:5" s="5" customFormat="1" ht="15" customHeight="1">
      <c r="B13" s="90"/>
      <c r="C13" s="95"/>
      <c r="D13"/>
      <c r="E13" s="95"/>
    </row>
    <row r="14" spans="2:5" s="5" customFormat="1" ht="15" customHeight="1">
      <c r="B14" s="90"/>
      <c r="C14" s="95"/>
      <c r="D14"/>
      <c r="E14" s="95"/>
    </row>
    <row r="15" spans="2:5" s="5" customFormat="1" ht="15" customHeight="1">
      <c r="B15" s="90"/>
      <c r="C15" s="95"/>
      <c r="D15"/>
      <c r="E15" s="95"/>
    </row>
    <row r="16" spans="2:5" s="5" customFormat="1" ht="15" customHeight="1">
      <c r="B16" s="90"/>
      <c r="C16" s="95"/>
      <c r="D16"/>
      <c r="E16" s="95"/>
    </row>
    <row r="17" spans="2:5" s="5" customFormat="1" ht="15" customHeight="1">
      <c r="B17" s="90"/>
      <c r="C17" s="95"/>
      <c r="D17"/>
      <c r="E17" s="95"/>
    </row>
    <row r="18" spans="2:5" s="5" customFormat="1" ht="15" customHeight="1">
      <c r="B18" s="90"/>
      <c r="C18" s="95"/>
      <c r="D18"/>
      <c r="E18" s="95"/>
    </row>
    <row r="19" spans="2:5" s="5" customFormat="1" ht="15" customHeight="1">
      <c r="B19" s="90"/>
      <c r="C19" s="95"/>
      <c r="D19"/>
      <c r="E19" s="95"/>
    </row>
    <row r="20" spans="2:5" s="5" customFormat="1" ht="15" customHeight="1">
      <c r="B20" s="90"/>
      <c r="C20" s="95"/>
      <c r="D20"/>
      <c r="E20" s="95"/>
    </row>
    <row r="21" spans="2:5" s="5" customFormat="1" ht="15" customHeight="1">
      <c r="B21" s="90"/>
      <c r="C21" s="95"/>
      <c r="D21"/>
      <c r="E21" s="95"/>
    </row>
    <row r="22" spans="2:5" s="5" customFormat="1" ht="15" customHeight="1">
      <c r="B22" s="90"/>
      <c r="C22" s="95"/>
      <c r="D22"/>
      <c r="E22" s="95"/>
    </row>
    <row r="23" spans="2:5" s="5" customFormat="1" ht="15" customHeight="1">
      <c r="B23" s="90"/>
      <c r="C23" s="95"/>
      <c r="D23"/>
      <c r="E23" s="95"/>
    </row>
    <row r="24" spans="2:5" s="5" customFormat="1" ht="15" customHeight="1">
      <c r="B24" s="90"/>
      <c r="C24" s="95"/>
      <c r="D24"/>
      <c r="E24" s="95"/>
    </row>
    <row r="25" spans="2:5" s="5" customFormat="1" ht="15" customHeight="1" thickBot="1">
      <c r="B25" s="91"/>
      <c r="C25" s="96"/>
      <c r="D25"/>
      <c r="E25" s="96"/>
    </row>
    <row r="26" spans="2:9" s="5" customFormat="1" ht="15" customHeight="1" thickBot="1" thickTop="1">
      <c r="B26" s="88"/>
      <c r="C26" s="93"/>
      <c r="D26" s="58">
        <f>SUM(D7:D25)</f>
        <v>0</v>
      </c>
      <c r="E26" s="93"/>
      <c r="I26" s="5" t="s">
        <v>65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Tesoreria Nacional</cp:lastModifiedBy>
  <cp:lastPrinted>2023-08-22T16:17:00Z</cp:lastPrinted>
  <dcterms:created xsi:type="dcterms:W3CDTF">2000-09-21T06:07:13Z</dcterms:created>
  <dcterms:modified xsi:type="dcterms:W3CDTF">2023-09-25T12:23:25Z</dcterms:modified>
  <cp:category/>
  <cp:version/>
  <cp:contentType/>
  <cp:contentStatus/>
</cp:coreProperties>
</file>